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editedFolder\solarBiorefining(2012)\submission(GreenChemistry)\"/>
    </mc:Choice>
  </mc:AlternateContent>
  <bookViews>
    <workbookView xWindow="240" yWindow="132" windowWidth="20112" windowHeight="7968" tabRatio="918" firstSheet="2" activeTab="8"/>
  </bookViews>
  <sheets>
    <sheet name="MassFlow" sheetId="9" r:id="rId1"/>
    <sheet name="Collection&amp;Transportation" sheetId="2" r:id="rId2"/>
    <sheet name="Pretreatment&amp;Hydrolysis" sheetId="10" r:id="rId3"/>
    <sheet name="LigninProcessing" sheetId="11" r:id="rId4"/>
    <sheet name="FungalLipidFermentation" sheetId="12" r:id="rId5"/>
    <sheet name="FungalBiomassDrying" sheetId="13" r:id="rId6"/>
    <sheet name="LipidExtractTransesterification" sheetId="14" r:id="rId7"/>
    <sheet name="WaterTreatment" sheetId="15" r:id="rId8"/>
    <sheet name="OverallEnergyBalance" sheetId="16" r:id="rId9"/>
  </sheets>
  <calcPr calcId="152511"/>
</workbook>
</file>

<file path=xl/calcChain.xml><?xml version="1.0" encoding="utf-8"?>
<calcChain xmlns="http://schemas.openxmlformats.org/spreadsheetml/2006/main">
  <c r="C30" i="16" l="1"/>
  <c r="C29" i="16"/>
  <c r="C26" i="16"/>
  <c r="C20" i="16"/>
  <c r="C19" i="16"/>
  <c r="C16" i="16"/>
  <c r="B18" i="11"/>
  <c r="B32" i="16" l="1"/>
  <c r="B31" i="16"/>
  <c r="B40" i="14" l="1"/>
  <c r="B19" i="12" l="1"/>
  <c r="B35" i="12"/>
  <c r="B5" i="12"/>
  <c r="B9" i="12" s="1"/>
  <c r="B5" i="13"/>
  <c r="B8" i="12"/>
  <c r="B7" i="13"/>
  <c r="B74" i="12"/>
  <c r="B39" i="12" l="1"/>
  <c r="B36" i="12" l="1"/>
  <c r="B83" i="10" l="1"/>
  <c r="B7" i="14" l="1"/>
  <c r="B6" i="14"/>
  <c r="B5" i="14"/>
  <c r="B17" i="12" l="1"/>
  <c r="H17" i="12" s="1"/>
  <c r="B10" i="14"/>
  <c r="B9" i="14"/>
  <c r="B24" i="14"/>
  <c r="B25" i="14" l="1"/>
  <c r="B29" i="14"/>
  <c r="B28" i="14"/>
  <c r="B5" i="9" l="1"/>
  <c r="B6" i="9" l="1"/>
  <c r="B71" i="10" l="1"/>
  <c r="B64" i="15" l="1"/>
  <c r="B54" i="12"/>
  <c r="B12" i="9" l="1"/>
  <c r="C11" i="16" l="1"/>
  <c r="B6" i="12" l="1"/>
  <c r="H6" i="12" s="1"/>
  <c r="B15" i="12"/>
  <c r="H15" i="12" s="1"/>
  <c r="B5" i="15"/>
  <c r="B10" i="10"/>
  <c r="B59" i="12"/>
  <c r="B61" i="12" s="1"/>
  <c r="B16" i="12" s="1"/>
  <c r="H16" i="12" s="1"/>
  <c r="B11" i="2" l="1"/>
  <c r="B11" i="10" s="1"/>
  <c r="B42" i="12"/>
  <c r="B43" i="12" s="1"/>
  <c r="B14" i="12" s="1"/>
  <c r="B6" i="2" l="1"/>
  <c r="B7" i="2"/>
  <c r="B9" i="2"/>
  <c r="B8" i="2"/>
  <c r="B5" i="2"/>
  <c r="B15" i="2" s="1"/>
  <c r="B7" i="9"/>
  <c r="B14" i="9" s="1"/>
  <c r="B16" i="10"/>
  <c r="B5" i="11"/>
  <c r="B7" i="11" s="1"/>
  <c r="B20" i="10"/>
  <c r="H20" i="10" s="1"/>
  <c r="B69" i="10"/>
  <c r="B70" i="10"/>
  <c r="C31" i="16" l="1"/>
  <c r="H26" i="14" l="1"/>
  <c r="H29" i="14" l="1"/>
  <c r="H28" i="14"/>
  <c r="B30" i="14"/>
  <c r="H30" i="14" s="1"/>
  <c r="B34" i="14"/>
  <c r="H34" i="14" s="1"/>
  <c r="H36" i="14" s="1"/>
  <c r="B35" i="14"/>
  <c r="H35" i="14" s="1"/>
  <c r="H25" i="14"/>
  <c r="H40" i="14" l="1"/>
  <c r="B37" i="14"/>
  <c r="H37" i="14"/>
  <c r="H38" i="14" s="1"/>
  <c r="B36" i="14"/>
  <c r="B38" i="14" l="1"/>
  <c r="H18" i="12" l="1"/>
  <c r="B17" i="16" s="1"/>
  <c r="B28" i="11" l="1"/>
  <c r="B61" i="10"/>
  <c r="B66" i="10" s="1"/>
  <c r="B68" i="10" l="1"/>
  <c r="B19" i="10" s="1"/>
  <c r="B67" i="10"/>
  <c r="B18" i="10" s="1"/>
  <c r="H6" i="2"/>
  <c r="H8" i="2"/>
  <c r="H7" i="2"/>
  <c r="H9" i="2"/>
  <c r="B6" i="10" l="1"/>
  <c r="H6" i="10" s="1"/>
  <c r="B5" i="10"/>
  <c r="B21" i="10"/>
  <c r="B8" i="10"/>
  <c r="H19" i="10"/>
  <c r="H18" i="10"/>
  <c r="B17" i="10"/>
  <c r="H11" i="2"/>
  <c r="B16" i="2"/>
  <c r="H16" i="2" s="1"/>
  <c r="H5" i="2"/>
  <c r="H15" i="2"/>
  <c r="B19" i="2"/>
  <c r="H19" i="2" s="1"/>
  <c r="B17" i="2"/>
  <c r="H17" i="2" s="1"/>
  <c r="B18" i="2"/>
  <c r="H18" i="2" s="1"/>
  <c r="B7" i="10" l="1"/>
  <c r="H7" i="10" s="1"/>
  <c r="B22" i="10"/>
  <c r="B23" i="10" s="1"/>
  <c r="H8" i="10"/>
  <c r="H14" i="12"/>
  <c r="H19" i="12" s="1"/>
  <c r="H22" i="2"/>
  <c r="B4" i="16" s="1"/>
  <c r="H16" i="10"/>
  <c r="H21" i="10" s="1"/>
  <c r="H5" i="10"/>
  <c r="H10" i="10"/>
  <c r="H11" i="10"/>
  <c r="H23" i="2"/>
  <c r="B23" i="2"/>
  <c r="B22" i="2"/>
  <c r="H17" i="10"/>
  <c r="H22" i="10" s="1"/>
  <c r="H5" i="12" l="1"/>
  <c r="B15" i="16"/>
  <c r="H23" i="10"/>
  <c r="H7" i="11"/>
  <c r="B11" i="16"/>
  <c r="H5" i="11"/>
  <c r="B27" i="16" l="1"/>
  <c r="B25" i="16"/>
  <c r="H18" i="11"/>
  <c r="B12" i="11"/>
  <c r="B20" i="12" l="1"/>
  <c r="H8" i="12"/>
  <c r="H20" i="12"/>
  <c r="B13" i="11"/>
  <c r="H12" i="11"/>
  <c r="H14" i="11" s="1"/>
  <c r="B16" i="16" s="1"/>
  <c r="B14" i="11"/>
  <c r="H5" i="13" l="1"/>
  <c r="H9" i="12"/>
  <c r="B15" i="11"/>
  <c r="B16" i="11" s="1"/>
  <c r="H13" i="11"/>
  <c r="H15" i="11" s="1"/>
  <c r="B12" i="13" l="1"/>
  <c r="B13" i="13" s="1"/>
  <c r="B15" i="13" s="1"/>
  <c r="H7" i="13"/>
  <c r="H5" i="14"/>
  <c r="H16" i="11"/>
  <c r="B26" i="16"/>
  <c r="B16" i="14" l="1"/>
  <c r="H16" i="14" s="1"/>
  <c r="H18" i="14" s="1"/>
  <c r="B15" i="14"/>
  <c r="B14" i="13"/>
  <c r="H9" i="14"/>
  <c r="H10" i="14"/>
  <c r="H12" i="13"/>
  <c r="H14" i="13" s="1"/>
  <c r="B11" i="14"/>
  <c r="H24" i="14"/>
  <c r="H6" i="14"/>
  <c r="H13" i="13"/>
  <c r="H15" i="13" s="1"/>
  <c r="H16" i="13" l="1"/>
  <c r="B18" i="16"/>
  <c r="B16" i="13"/>
  <c r="B13" i="15"/>
  <c r="B14" i="15" s="1"/>
  <c r="H11" i="14"/>
  <c r="H7" i="14"/>
  <c r="H15" i="14"/>
  <c r="H17" i="14" s="1"/>
  <c r="B19" i="16" s="1"/>
  <c r="B17" i="14"/>
  <c r="H5" i="15"/>
  <c r="B8" i="15"/>
  <c r="B9" i="15" s="1"/>
  <c r="H9" i="15" s="1"/>
  <c r="B28" i="16"/>
  <c r="B29" i="16"/>
  <c r="B18" i="14"/>
  <c r="B15" i="15" l="1"/>
  <c r="H13" i="15"/>
  <c r="H15" i="15" s="1"/>
  <c r="B20" i="16" s="1"/>
  <c r="B21" i="16" s="1"/>
  <c r="B7" i="15"/>
  <c r="B24" i="15" s="1"/>
  <c r="B26" i="15" s="1"/>
  <c r="B36" i="15" s="1"/>
  <c r="B43" i="15" s="1"/>
  <c r="B19" i="14"/>
  <c r="H19" i="14"/>
  <c r="H8" i="15"/>
  <c r="B19" i="15"/>
  <c r="H19" i="15" s="1"/>
  <c r="C21" i="16" s="1"/>
  <c r="C32" i="16" s="1"/>
  <c r="H14" i="15"/>
  <c r="H16" i="15" s="1"/>
  <c r="B16" i="15"/>
  <c r="B17" i="15" l="1"/>
  <c r="H7" i="15"/>
  <c r="H24" i="15"/>
  <c r="B30" i="15"/>
  <c r="B31" i="15" s="1"/>
  <c r="B32" i="15" s="1"/>
  <c r="H17" i="15"/>
  <c r="B38" i="15" l="1"/>
  <c r="H26" i="15"/>
  <c r="H30" i="15"/>
  <c r="H31" i="15" s="1"/>
  <c r="H32" i="15" s="1"/>
  <c r="H36" i="15"/>
  <c r="B39" i="15" l="1"/>
  <c r="B49" i="15" s="1"/>
  <c r="B50" i="15" s="1"/>
  <c r="H38" i="15"/>
  <c r="H43" i="15"/>
  <c r="H44" i="15" s="1"/>
  <c r="B44" i="15"/>
  <c r="B45" i="15" s="1"/>
  <c r="B53" i="15" l="1"/>
  <c r="B52" i="15" s="1"/>
  <c r="H45" i="15"/>
  <c r="B30" i="16"/>
  <c r="H39" i="15"/>
  <c r="H50" i="15" l="1"/>
  <c r="H49" i="15"/>
  <c r="H53" i="15" l="1"/>
  <c r="H52" i="15"/>
</calcChain>
</file>

<file path=xl/sharedStrings.xml><?xml version="1.0" encoding="utf-8"?>
<sst xmlns="http://schemas.openxmlformats.org/spreadsheetml/2006/main" count="1231" uniqueCount="369">
  <si>
    <t>value</t>
  </si>
  <si>
    <t>unit</t>
  </si>
  <si>
    <t>Unit</t>
  </si>
  <si>
    <t>total biodiesel</t>
  </si>
  <si>
    <t>gal/yr</t>
  </si>
  <si>
    <t>Value</t>
  </si>
  <si>
    <t>kg/yr</t>
  </si>
  <si>
    <t>kg/gal</t>
  </si>
  <si>
    <t>P0 (atm P)</t>
  </si>
  <si>
    <t>N/m2</t>
  </si>
  <si>
    <t>MJ/kg</t>
  </si>
  <si>
    <t>Input</t>
  </si>
  <si>
    <t>Np (unaerated power #)</t>
  </si>
  <si>
    <t>Nitrogen</t>
  </si>
  <si>
    <t>m</t>
  </si>
  <si>
    <t>Phosphorus</t>
  </si>
  <si>
    <t>ρ  (liquid density)</t>
  </si>
  <si>
    <t>kg/m3</t>
  </si>
  <si>
    <t>kg/L</t>
  </si>
  <si>
    <t>Potassium</t>
  </si>
  <si>
    <t>rev/s</t>
  </si>
  <si>
    <t>Diesel</t>
  </si>
  <si>
    <t>MJ/L</t>
  </si>
  <si>
    <t>m3/s</t>
  </si>
  <si>
    <t>calculations</t>
  </si>
  <si>
    <t>%</t>
  </si>
  <si>
    <t>Pg (agitation power)</t>
  </si>
  <si>
    <t>Notes</t>
  </si>
  <si>
    <t>mass input</t>
  </si>
  <si>
    <t>energy input</t>
  </si>
  <si>
    <t>Diesel (harvest)</t>
  </si>
  <si>
    <t>MJ/yr</t>
  </si>
  <si>
    <t>Diesel (transport)</t>
  </si>
  <si>
    <t xml:space="preserve">total </t>
  </si>
  <si>
    <t>C</t>
  </si>
  <si>
    <t>mass output</t>
  </si>
  <si>
    <t>kg/kg</t>
  </si>
  <si>
    <t>Corn stover</t>
  </si>
  <si>
    <t>Sulfuric acid</t>
  </si>
  <si>
    <t>Water</t>
  </si>
  <si>
    <t>Lignin</t>
  </si>
  <si>
    <t>Dry fungal biomass</t>
  </si>
  <si>
    <t>Fungal biomass</t>
  </si>
  <si>
    <t>Wastewater</t>
  </si>
  <si>
    <t>Biodiesel</t>
  </si>
  <si>
    <t>Methane</t>
  </si>
  <si>
    <t>% (w/w)</t>
  </si>
  <si>
    <t>Nitrogen (N)</t>
  </si>
  <si>
    <t>Potassium (K)</t>
  </si>
  <si>
    <t>Phosphorus (P)</t>
  </si>
  <si>
    <t>source</t>
  </si>
  <si>
    <t>U.S. Soybean board</t>
  </si>
  <si>
    <t>Methanol</t>
  </si>
  <si>
    <t>GREET 1.8c</t>
  </si>
  <si>
    <t>assumed for this study</t>
  </si>
  <si>
    <t>biodiesel density</t>
  </si>
  <si>
    <t>known value</t>
  </si>
  <si>
    <t>diesel for harvest</t>
  </si>
  <si>
    <t>diesel for transport</t>
  </si>
  <si>
    <t>calculated</t>
  </si>
  <si>
    <t>lab data</t>
  </si>
  <si>
    <t>diesel density</t>
  </si>
  <si>
    <t>K fertilizer</t>
  </si>
  <si>
    <t>P fertilizer</t>
  </si>
  <si>
    <t>N fertilizer</t>
  </si>
  <si>
    <t>kJ/(kg*K)</t>
  </si>
  <si>
    <t>kg/ (t dry corn stover)</t>
  </si>
  <si>
    <t>specific heat capacity</t>
  </si>
  <si>
    <t>PARAMETERS</t>
  </si>
  <si>
    <t>Thermal energy</t>
  </si>
  <si>
    <t>corn stover property</t>
  </si>
  <si>
    <t>Sheehan et al., 2004</t>
  </si>
  <si>
    <t>Sheehan et al, 2004</t>
  </si>
  <si>
    <t>Morey et al., 2010</t>
  </si>
  <si>
    <t>Lipid per biodiesel</t>
  </si>
  <si>
    <t>kg lipid/kg biodiesel</t>
  </si>
  <si>
    <t>Huo et al. 2008</t>
  </si>
  <si>
    <t>Fungal lipid</t>
  </si>
  <si>
    <t>Conversion factors</t>
  </si>
  <si>
    <t>L/ (ton corn stover)</t>
  </si>
  <si>
    <t>Energy Parameter</t>
  </si>
  <si>
    <t>Mass Parameter</t>
  </si>
  <si>
    <t>Fossil Fuel Parameter</t>
  </si>
  <si>
    <t>MASS BALANCE (annual base)</t>
  </si>
  <si>
    <t>ENERGY BALANCE (annual base)</t>
  </si>
  <si>
    <t>MASS BALANCE (unit kg biodiesel)</t>
  </si>
  <si>
    <t>ENERGY BALANCE (unit kg biodiesel)</t>
  </si>
  <si>
    <t>Kaliyan et al., 2009</t>
  </si>
  <si>
    <t>Electricity energy</t>
  </si>
  <si>
    <t>Fossil fuel energy</t>
  </si>
  <si>
    <t>fossil fuel energy equivalent for fertilizer production</t>
  </si>
  <si>
    <t>2. Corn stover pretreatment and enzymatic hydrolysis</t>
  </si>
  <si>
    <t>1. Corn stover collection and transportation</t>
  </si>
  <si>
    <t>Solid loading</t>
  </si>
  <si>
    <t>%(w/w)</t>
  </si>
  <si>
    <t>Initial temperature</t>
  </si>
  <si>
    <t>Reaction temperature</t>
  </si>
  <si>
    <t>Energy to grind corn stover</t>
  </si>
  <si>
    <t>Zhu et al., 2012</t>
  </si>
  <si>
    <t>Pretreatment conditions</t>
  </si>
  <si>
    <t>Enzymatic hydrolysis conditions</t>
  </si>
  <si>
    <t>Feedstock and lipid for 20 million gallon biodiesel</t>
  </si>
  <si>
    <t>Basic mass information</t>
  </si>
  <si>
    <t>Reation temperature</t>
  </si>
  <si>
    <t>Specific heat capacity of solution</t>
  </si>
  <si>
    <t>Accellerase 1500</t>
  </si>
  <si>
    <t>Accellerase XY</t>
  </si>
  <si>
    <t>g protein/g enzyme</t>
  </si>
  <si>
    <t>Alkali</t>
  </si>
  <si>
    <t>Thermal energy for pretreatment</t>
  </si>
  <si>
    <t>Electricity energy for pretreatment</t>
  </si>
  <si>
    <t>Electricity energy for enzymatic hydrolysis</t>
  </si>
  <si>
    <t>Enzyme</t>
  </si>
  <si>
    <t>Characteristics of hydrolysate</t>
  </si>
  <si>
    <t>Glucose</t>
  </si>
  <si>
    <t>Xylose</t>
  </si>
  <si>
    <t>Acetate</t>
  </si>
  <si>
    <t>g/kg hydrolysate</t>
  </si>
  <si>
    <t>Hydrolysate</t>
  </si>
  <si>
    <t>Cellulose</t>
  </si>
  <si>
    <t>Xylan</t>
  </si>
  <si>
    <t>For agitation</t>
  </si>
  <si>
    <t>Total thermal energy</t>
  </si>
  <si>
    <t>Total electricity energy</t>
  </si>
  <si>
    <t>total energy input</t>
  </si>
  <si>
    <t>Reaction time</t>
  </si>
  <si>
    <t>hour</t>
  </si>
  <si>
    <t>Agitation conditions for 100 m3 reactor (a)</t>
  </si>
  <si>
    <t>N (rotation speed) (b)</t>
  </si>
  <si>
    <t>N s/m2</t>
  </si>
  <si>
    <t>at 130 C</t>
  </si>
  <si>
    <t>μ (dynamic viscosity)</t>
  </si>
  <si>
    <t>D (Impeller diameter)</t>
  </si>
  <si>
    <t>at 50 C</t>
  </si>
  <si>
    <t>Pg (agitation power for pretreatment)</t>
  </si>
  <si>
    <t>Pg (agitation power for hydrolysis)</t>
  </si>
  <si>
    <t>kJ/kg dry corn stover</t>
  </si>
  <si>
    <t>heat (pretreatment)</t>
  </si>
  <si>
    <t>heat (pretreatment recovery)</t>
  </si>
  <si>
    <t>Electricity energy for grind corn stover</t>
  </si>
  <si>
    <t>MJ/kg corn stover</t>
  </si>
  <si>
    <t>Characteristics of hydrolysis residue</t>
  </si>
  <si>
    <t>% dry solid</t>
  </si>
  <si>
    <t>Unpublished data</t>
  </si>
  <si>
    <t>Hydrolysis residue (wet)</t>
  </si>
  <si>
    <t>MASS BALANCE (Unit kg biodiesel)</t>
  </si>
  <si>
    <t>ENERGY BALANCE (Unit kg biodiesel)</t>
  </si>
  <si>
    <t>3. Lignin processing</t>
  </si>
  <si>
    <t>Lignin drying conditions</t>
  </si>
  <si>
    <t>Initial hydrolysis residue temperature</t>
  </si>
  <si>
    <t>assumption</t>
  </si>
  <si>
    <t>Wet hydrolysis residue</t>
  </si>
  <si>
    <t>Wet hydrolyssi residue</t>
  </si>
  <si>
    <t>Thermal energy for drying</t>
  </si>
  <si>
    <t>Electricity energy for drying</t>
  </si>
  <si>
    <t>Drying temperature</t>
  </si>
  <si>
    <t>Latent heat of water at 75C</t>
  </si>
  <si>
    <t xml:space="preserve">kJ/kg </t>
  </si>
  <si>
    <t>Singh, 2009</t>
  </si>
  <si>
    <t>moisture content of the wet hydrolysis residue</t>
  </si>
  <si>
    <t>Prasitic electricity energy</t>
  </si>
  <si>
    <t>% total thermal energy</t>
  </si>
  <si>
    <t>Mani et al., 2010</t>
  </si>
  <si>
    <t>Specific heat capacity of water</t>
  </si>
  <si>
    <t>dry lignin rich residue</t>
  </si>
  <si>
    <t>moisture content of dry lignin rich residue</t>
  </si>
  <si>
    <t xml:space="preserve">Lignin content </t>
  </si>
  <si>
    <t>kg/kg dry residue</t>
  </si>
  <si>
    <t>Specific heat capacity of dry lignin rich residue</t>
  </si>
  <si>
    <t>g/kg corn stover</t>
  </si>
  <si>
    <t>Accellerase XY activity</t>
  </si>
  <si>
    <t>4. Fungal lipid fermentation</t>
  </si>
  <si>
    <t>P1 (Compressor exit pressure)</t>
  </si>
  <si>
    <t>P2 (Pressure at the bottom of fermentor)</t>
  </si>
  <si>
    <t>Alves et al. 1996</t>
  </si>
  <si>
    <t>Pc (compression power)</t>
  </si>
  <si>
    <t>α</t>
  </si>
  <si>
    <t xml:space="preserve">γ for air compression </t>
  </si>
  <si>
    <t>Fermentation conditions</t>
  </si>
  <si>
    <t>Fermentation time</t>
  </si>
  <si>
    <t>Fermentation temperature</t>
  </si>
  <si>
    <t>Aeration</t>
  </si>
  <si>
    <t>vvm</t>
  </si>
  <si>
    <t>Agitation</t>
  </si>
  <si>
    <t>rpm</t>
  </si>
  <si>
    <t>dry matter</t>
  </si>
  <si>
    <t>unpublished data</t>
  </si>
  <si>
    <t>Fungal biomass (wet)</t>
  </si>
  <si>
    <t>Fungal biomass yield</t>
  </si>
  <si>
    <t>kg dry fungal biomass/kg hydrolysate</t>
  </si>
  <si>
    <t>fermentation liquid effluent</t>
  </si>
  <si>
    <t>Fermentation liquid effluent</t>
  </si>
  <si>
    <t>Wet fungal biomass</t>
  </si>
  <si>
    <t>Specific heat capacity of dry fungal biomass</t>
  </si>
  <si>
    <t>Initial fungal biomass temperature</t>
  </si>
  <si>
    <t>5. Fungal biomass drying</t>
  </si>
  <si>
    <t>Ruan et al., 2014</t>
  </si>
  <si>
    <t>6. Lipid extraction and transesterification</t>
  </si>
  <si>
    <t>Thermal energy for extraction</t>
  </si>
  <si>
    <t>Electricity energy for extraction</t>
  </si>
  <si>
    <t>Extraction conditions</t>
  </si>
  <si>
    <t>Transesterification conditions</t>
  </si>
  <si>
    <t>Lipid content in the dry fungal biomass</t>
  </si>
  <si>
    <t>Hexane</t>
  </si>
  <si>
    <t>Fungal biomass residue</t>
  </si>
  <si>
    <t>EXTRACTION MASS BALANCE (annual base)</t>
  </si>
  <si>
    <t>EXTRACTION ENERGY BALANCE (annual base)</t>
  </si>
  <si>
    <t>EXTRACTION MASS BALANCE (Unit kg biodiesel)</t>
  </si>
  <si>
    <t>EXTRACTION ENERGY BALANCE (Unit kg biodiesel)</t>
  </si>
  <si>
    <t>kg/1000 kg fungal lipid</t>
  </si>
  <si>
    <t xml:space="preserve">Thermal energy </t>
  </si>
  <si>
    <t xml:space="preserve">Electricity energy </t>
  </si>
  <si>
    <t>Thermal energy (steam)</t>
  </si>
  <si>
    <t>kJ/kg fungal lipid</t>
  </si>
  <si>
    <t>TRANSESTERIFICATION MASS BALANCE (Unit kg biodiesel)</t>
  </si>
  <si>
    <t xml:space="preserve"> TRANSESTERIFICATION MASS BALANCE (annual base)</t>
  </si>
  <si>
    <t>TRANSESTERIFICATION ENERGY BALANCE (annual base)</t>
  </si>
  <si>
    <t>TRANSESTERIFICATION ENERGY BALANCE (Unit kg biodiesel)</t>
  </si>
  <si>
    <t>kg/kg biodiesel</t>
  </si>
  <si>
    <t>electricity energy</t>
  </si>
  <si>
    <t>thermal energy</t>
  </si>
  <si>
    <t>kJ/kg biodiesel</t>
  </si>
  <si>
    <t>wastewater</t>
  </si>
  <si>
    <t>ANAEROBIC MASS BALANCE (annual base)</t>
  </si>
  <si>
    <t>ANAEROBIC MASS BALANCE (Unit kg biodiesel)</t>
  </si>
  <si>
    <t>ANAEROBIC ENERGY BALANCE (annual base)</t>
  </si>
  <si>
    <t>ANAEROBIC ENERGY BALANCE (Unit kg biodiesel)</t>
  </si>
  <si>
    <t>AEROBIC MASS BALANCE (annual base)</t>
  </si>
  <si>
    <t>AEROBIC MASS BALANCE (Unit kg biodiesel)</t>
  </si>
  <si>
    <t>AEROBIC ENERGY BALANCE (annual base)</t>
  </si>
  <si>
    <t>AEROBIC ENERGY BALANCE (Unit kg biodiesel)</t>
  </si>
  <si>
    <t>Wastewater (from fermentation and lipid extraction)</t>
  </si>
  <si>
    <t>Wastewater (from fermentation and liquid extraction)</t>
  </si>
  <si>
    <t>Anaerobic digestion effluent</t>
  </si>
  <si>
    <t>Anaerobic digestion operations</t>
  </si>
  <si>
    <t>COD of the wastewater</t>
  </si>
  <si>
    <t>g COD/kg wastewater</t>
  </si>
  <si>
    <t>measured</t>
  </si>
  <si>
    <t>COD reduction during the AD</t>
  </si>
  <si>
    <t>Methane production per COD reduction</t>
  </si>
  <si>
    <t>temperature of the wastewater</t>
  </si>
  <si>
    <t>temperature of anaerobic digestion</t>
  </si>
  <si>
    <t>% total energy</t>
  </si>
  <si>
    <t>kJ/kg wastewater</t>
  </si>
  <si>
    <t>Thermal energy for digestion</t>
  </si>
  <si>
    <t>Electricity energy for digestion</t>
  </si>
  <si>
    <t>reclaimed water</t>
  </si>
  <si>
    <t>7. Water treatment</t>
  </si>
  <si>
    <t>g/g COD reduced</t>
  </si>
  <si>
    <t>Methane energy</t>
  </si>
  <si>
    <t>thermal energy required for AD</t>
  </si>
  <si>
    <t>Parasticic electricity energy for AD</t>
  </si>
  <si>
    <t>LHV of methane</t>
  </si>
  <si>
    <t xml:space="preserve">MJ/kg  </t>
  </si>
  <si>
    <t>Aerobic treatment operations</t>
  </si>
  <si>
    <t>W.E. Federation</t>
  </si>
  <si>
    <t>kJ/1000 kg</t>
  </si>
  <si>
    <t>water recovery yield</t>
  </si>
  <si>
    <t>aerobic treatment electricity requirement</t>
  </si>
  <si>
    <t>Reverse osmosis operations</t>
  </si>
  <si>
    <t>electricity requirement</t>
  </si>
  <si>
    <t>hydrated lime operations</t>
  </si>
  <si>
    <t>RO MASS BALANCE (annual base)</t>
  </si>
  <si>
    <t>RO MASS BALANCE (Unit kg biodiesel)</t>
  </si>
  <si>
    <t>Pure water</t>
  </si>
  <si>
    <t>RO ENERGY BALANCE (annual base)</t>
  </si>
  <si>
    <t>RO ENERGY BALANCE (Unit kg biodiesel)</t>
  </si>
  <si>
    <t>Gottberg, et al., 2012</t>
  </si>
  <si>
    <t>kg/kg brine water</t>
  </si>
  <si>
    <t>LIME TREATMENT MASS BALANCE (annual base)</t>
  </si>
  <si>
    <t>LIME TREATMENT MASS BALANCE (Unit kg biodiesel)</t>
  </si>
  <si>
    <t xml:space="preserve">Lime  </t>
  </si>
  <si>
    <t xml:space="preserve">Lime   </t>
  </si>
  <si>
    <t>CaSO4 production</t>
  </si>
  <si>
    <t>Dry matter of CaSO4</t>
  </si>
  <si>
    <t xml:space="preserve">wet CaSO4 production </t>
  </si>
  <si>
    <t>wet CaSO4</t>
  </si>
  <si>
    <t>lignin energy</t>
  </si>
  <si>
    <t>lignine energy</t>
  </si>
  <si>
    <t>Lignin LHV</t>
  </si>
  <si>
    <t>kJ/kg lignin</t>
  </si>
  <si>
    <t>Overall Energy Balance (MJ/kg biodiesel)</t>
  </si>
  <si>
    <t>Total</t>
  </si>
  <si>
    <t>hydrated lime amount</t>
  </si>
  <si>
    <t>air</t>
  </si>
  <si>
    <t xml:space="preserve">MJ/kg glycerol </t>
  </si>
  <si>
    <t>Glycerol</t>
  </si>
  <si>
    <t>Other</t>
  </si>
  <si>
    <t>energy product</t>
  </si>
  <si>
    <t>Np (power #)</t>
  </si>
  <si>
    <t>Alves et al., 1996</t>
  </si>
  <si>
    <t>Global efficiency for agitation</t>
  </si>
  <si>
    <t>Global efficiency for compressor</t>
  </si>
  <si>
    <t>global efficiency for agitation</t>
  </si>
  <si>
    <t>.</t>
  </si>
  <si>
    <t>Tomani, P., 2009</t>
  </si>
  <si>
    <t>groundwater temperature at Meade County, Kansas</t>
  </si>
  <si>
    <t>Final hydrolysate temperature</t>
  </si>
  <si>
    <t>the fermentation temperature</t>
  </si>
  <si>
    <t>heat (enzymatic hydrolysis recovery)</t>
  </si>
  <si>
    <t>chiller efficiency</t>
  </si>
  <si>
    <t>Heat of fermentation</t>
  </si>
  <si>
    <t>Pr (cooling)</t>
  </si>
  <si>
    <t xml:space="preserve">Q (air flow) </t>
  </si>
  <si>
    <t>Oxygen consumption</t>
  </si>
  <si>
    <t>kJ/mol oxygen comsumed</t>
  </si>
  <si>
    <t>Doran, 2013</t>
  </si>
  <si>
    <t>kJ/kg dry fungal biomass</t>
  </si>
  <si>
    <t>mol/kg dry fungal biomass/hr</t>
  </si>
  <si>
    <t>Energy released per mol oxygen consumed</t>
  </si>
  <si>
    <t>overall energy balance</t>
  </si>
  <si>
    <t>Ruan et al. 2014</t>
  </si>
  <si>
    <t>kW/200m3</t>
  </si>
  <si>
    <t>Cooling for 200 m3 fermentor (a)</t>
  </si>
  <si>
    <t>Agitation conditions for 200 m3 fermentor (a)</t>
  </si>
  <si>
    <t>Aeration conditions for 200 m3 fermentor (a)</t>
  </si>
  <si>
    <t>kW/ton</t>
  </si>
  <si>
    <t>kw electricity needed to remove 12,661 kJ heat per hour</t>
  </si>
  <si>
    <t>Calculated based on the size of the fermentor</t>
  </si>
  <si>
    <t>(b) the agitation speed is 180 rpm</t>
  </si>
  <si>
    <t xml:space="preserve">(c) the ratio of the propeller diameter to the fermentor diameter is 0.33. </t>
  </si>
  <si>
    <t>kg/kg Na2SO4</t>
  </si>
  <si>
    <t>Na2SO4 in brine water</t>
  </si>
  <si>
    <t xml:space="preserve">D (Impeller diameter) (c) </t>
  </si>
  <si>
    <t>(b) the rotation speed is 90 rpm.</t>
  </si>
  <si>
    <t>Specific heat capacity of slurry</t>
  </si>
  <si>
    <t>CO2 (66%v/v of methane)</t>
  </si>
  <si>
    <t>Brine water (9% Na2SO4)</t>
  </si>
  <si>
    <t>NaOH solution (5% NaOH)</t>
  </si>
  <si>
    <t>Accellerase 1500 activity</t>
  </si>
  <si>
    <t>Latent heat of water at 100C</t>
  </si>
  <si>
    <t>Omni Tech International</t>
  </si>
  <si>
    <t>Chen et al., 2009</t>
  </si>
  <si>
    <t>kJ/1000 kg reclaimed water</t>
  </si>
  <si>
    <t>kg lipid/kg corn stover</t>
  </si>
  <si>
    <t>Fungal lipid per corn stover</t>
  </si>
  <si>
    <t>fraction of the original lignin content</t>
  </si>
  <si>
    <t>Sievers et al., 2014</t>
  </si>
  <si>
    <t>weight fraction of the wet residue</t>
  </si>
  <si>
    <t>m2</t>
  </si>
  <si>
    <t>Sievers, 2014</t>
  </si>
  <si>
    <t>Unit power demand</t>
  </si>
  <si>
    <t>Unit capacity</t>
  </si>
  <si>
    <t>Unit size (filter area)</t>
  </si>
  <si>
    <t>Pressure filter</t>
  </si>
  <si>
    <t>kW/unit</t>
  </si>
  <si>
    <t>Unit number for 10 million gallon biodiesel production</t>
  </si>
  <si>
    <t>Energy consumption of the pressure filter</t>
  </si>
  <si>
    <t>kg dry solids/hr/m2 filter area</t>
  </si>
  <si>
    <t>kJ/kg dry residue</t>
  </si>
  <si>
    <t>Electricity energy for filter</t>
  </si>
  <si>
    <t>total dry solid in the residue</t>
  </si>
  <si>
    <t>Lignin content</t>
  </si>
  <si>
    <t xml:space="preserve">Total dry solid in the wet residue </t>
  </si>
  <si>
    <t>Soluable lignin in the pretreatment process</t>
  </si>
  <si>
    <t>Overall sugar yield</t>
  </si>
  <si>
    <t>% raw corn stover</t>
  </si>
  <si>
    <t>Sugar recovery</t>
  </si>
  <si>
    <t>Fermentor size</t>
  </si>
  <si>
    <t xml:space="preserve">m3 </t>
  </si>
  <si>
    <t>assumed</t>
  </si>
  <si>
    <t xml:space="preserve">(a) the geometry of the fermetor is 5.0 meter in diameter and 12 meter tall. The effevtive level is at 10 m for 200 m3 effective volume. The impeller is propeller.  </t>
  </si>
  <si>
    <t xml:space="preserve">(a) the geometry of both pretreatmnet and hydrolysis reactors is 5.0 meter in diameter and 12 meter tall. The effevtive level is at 10 m for 200 m3 effective volume. The impeller is propeller.  </t>
  </si>
  <si>
    <t>Electricity energy for aeration</t>
  </si>
  <si>
    <t>Electricity energy for agitation</t>
  </si>
  <si>
    <t>Electricity energy for cooling</t>
  </si>
  <si>
    <t>Electricity energy for biomass dewatering</t>
  </si>
  <si>
    <t>Glycerol low heating value</t>
  </si>
  <si>
    <t>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</si>
</sst>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0000CC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sz val="14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2" xfId="0" applyFill="1" applyBorder="1"/>
    <xf numFmtId="3" fontId="0" fillId="0" borderId="2" xfId="0" applyNumberFormat="1" applyFill="1" applyBorder="1"/>
    <xf numFmtId="0" fontId="0" fillId="0" borderId="2" xfId="0" applyBorder="1"/>
    <xf numFmtId="3" fontId="0" fillId="0" borderId="2" xfId="0" applyNumberFormat="1" applyBorder="1"/>
    <xf numFmtId="0" fontId="0" fillId="5" borderId="2" xfId="0" applyFill="1" applyBorder="1"/>
    <xf numFmtId="0" fontId="0" fillId="5" borderId="3" xfId="0" applyFont="1" applyFill="1" applyBorder="1"/>
    <xf numFmtId="0" fontId="0" fillId="5" borderId="2" xfId="0" applyFont="1" applyFill="1" applyBorder="1"/>
    <xf numFmtId="0" fontId="1" fillId="0" borderId="2" xfId="0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2" xfId="0" applyFont="1" applyBorder="1"/>
    <xf numFmtId="0" fontId="4" fillId="6" borderId="0" xfId="0" applyFont="1" applyFill="1"/>
    <xf numFmtId="0" fontId="2" fillId="0" borderId="0" xfId="0" applyFont="1"/>
    <xf numFmtId="0" fontId="3" fillId="2" borderId="2" xfId="0" applyFont="1" applyFill="1" applyBorder="1"/>
    <xf numFmtId="0" fontId="2" fillId="0" borderId="4" xfId="0" applyFont="1" applyBorder="1"/>
    <xf numFmtId="0" fontId="3" fillId="2" borderId="6" xfId="0" applyFont="1" applyFill="1" applyBorder="1"/>
    <xf numFmtId="0" fontId="2" fillId="0" borderId="1" xfId="0" applyFont="1" applyBorder="1"/>
    <xf numFmtId="0" fontId="5" fillId="6" borderId="0" xfId="0" applyFont="1" applyFill="1"/>
    <xf numFmtId="0" fontId="2" fillId="0" borderId="0" xfId="0" applyFont="1" applyFill="1"/>
    <xf numFmtId="0" fontId="4" fillId="0" borderId="0" xfId="0" applyFont="1" applyFill="1"/>
    <xf numFmtId="0" fontId="3" fillId="2" borderId="1" xfId="0" applyFont="1" applyFill="1" applyBorder="1" applyAlignment="1">
      <alignment horizontal="left"/>
    </xf>
    <xf numFmtId="3" fontId="3" fillId="2" borderId="1" xfId="0" applyNumberFormat="1" applyFont="1" applyFill="1" applyBorder="1" applyAlignment="1">
      <alignment horizontal="left"/>
    </xf>
    <xf numFmtId="0" fontId="2" fillId="0" borderId="2" xfId="0" applyFont="1" applyFill="1" applyBorder="1"/>
    <xf numFmtId="3" fontId="2" fillId="0" borderId="2" xfId="0" applyNumberFormat="1" applyFont="1" applyFill="1" applyBorder="1"/>
    <xf numFmtId="0" fontId="2" fillId="0" borderId="3" xfId="0" applyFont="1" applyFill="1" applyBorder="1"/>
    <xf numFmtId="0" fontId="2" fillId="0" borderId="0" xfId="0" applyFont="1" applyFill="1" applyBorder="1"/>
    <xf numFmtId="0" fontId="3" fillId="2" borderId="4" xfId="0" applyFont="1" applyFill="1" applyBorder="1"/>
    <xf numFmtId="0" fontId="3" fillId="2" borderId="0" xfId="0" applyFont="1" applyFill="1" applyBorder="1"/>
    <xf numFmtId="164" fontId="2" fillId="0" borderId="2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left"/>
    </xf>
    <xf numFmtId="3" fontId="2" fillId="0" borderId="2" xfId="0" applyNumberFormat="1" applyFont="1" applyBorder="1"/>
    <xf numFmtId="164" fontId="2" fillId="0" borderId="2" xfId="0" applyNumberFormat="1" applyFont="1" applyBorder="1"/>
    <xf numFmtId="0" fontId="5" fillId="7" borderId="0" xfId="0" applyFont="1" applyFill="1"/>
    <xf numFmtId="0" fontId="4" fillId="7" borderId="0" xfId="0" applyFont="1" applyFill="1"/>
    <xf numFmtId="0" fontId="0" fillId="0" borderId="4" xfId="0" applyFill="1" applyBorder="1"/>
    <xf numFmtId="3" fontId="0" fillId="0" borderId="4" xfId="0" applyNumberFormat="1" applyFill="1" applyBorder="1"/>
    <xf numFmtId="164" fontId="0" fillId="0" borderId="2" xfId="0" applyNumberFormat="1" applyBorder="1"/>
    <xf numFmtId="164" fontId="1" fillId="0" borderId="2" xfId="0" applyNumberFormat="1" applyFont="1" applyFill="1" applyBorder="1"/>
    <xf numFmtId="0" fontId="1" fillId="0" borderId="4" xfId="0" applyFont="1" applyFill="1" applyBorder="1"/>
    <xf numFmtId="0" fontId="2" fillId="0" borderId="9" xfId="0" applyFont="1" applyBorder="1"/>
    <xf numFmtId="0" fontId="7" fillId="4" borderId="0" xfId="0" applyFont="1" applyFill="1"/>
    <xf numFmtId="0" fontId="3" fillId="4" borderId="0" xfId="0" applyFont="1" applyFill="1"/>
    <xf numFmtId="3" fontId="2" fillId="0" borderId="0" xfId="0" applyNumberFormat="1" applyFont="1" applyBorder="1"/>
    <xf numFmtId="0" fontId="2" fillId="0" borderId="0" xfId="0" applyFont="1" applyBorder="1"/>
    <xf numFmtId="0" fontId="2" fillId="7" borderId="0" xfId="0" applyFont="1" applyFill="1" applyBorder="1"/>
    <xf numFmtId="0" fontId="2" fillId="7" borderId="0" xfId="0" applyFont="1" applyFill="1"/>
    <xf numFmtId="0" fontId="5" fillId="7" borderId="0" xfId="0" applyFont="1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0" borderId="4" xfId="0" applyFont="1" applyFill="1" applyBorder="1"/>
    <xf numFmtId="3" fontId="2" fillId="0" borderId="4" xfId="0" applyNumberFormat="1" applyFont="1" applyFill="1" applyBorder="1"/>
    <xf numFmtId="0" fontId="8" fillId="0" borderId="2" xfId="0" applyFont="1" applyFill="1" applyBorder="1"/>
    <xf numFmtId="3" fontId="8" fillId="0" borderId="2" xfId="0" applyNumberFormat="1" applyFont="1" applyFill="1" applyBorder="1"/>
    <xf numFmtId="0" fontId="8" fillId="0" borderId="0" xfId="0" applyFont="1" applyFill="1" applyBorder="1"/>
    <xf numFmtId="3" fontId="8" fillId="0" borderId="0" xfId="0" applyNumberFormat="1" applyFont="1" applyFill="1" applyBorder="1"/>
    <xf numFmtId="0" fontId="2" fillId="8" borderId="0" xfId="0" applyFont="1" applyFill="1"/>
    <xf numFmtId="0" fontId="2" fillId="0" borderId="10" xfId="0" applyFont="1" applyBorder="1"/>
    <xf numFmtId="0" fontId="2" fillId="0" borderId="7" xfId="0" applyFont="1" applyBorder="1"/>
    <xf numFmtId="0" fontId="3" fillId="2" borderId="0" xfId="0" applyFont="1" applyFill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3" fillId="9" borderId="5" xfId="0" applyFont="1" applyFill="1" applyBorder="1" applyAlignment="1">
      <alignment horizontal="right"/>
    </xf>
    <xf numFmtId="0" fontId="3" fillId="9" borderId="8" xfId="0" applyFont="1" applyFill="1" applyBorder="1"/>
    <xf numFmtId="0" fontId="2" fillId="9" borderId="6" xfId="0" applyFont="1" applyFill="1" applyBorder="1"/>
    <xf numFmtId="0" fontId="2" fillId="8" borderId="2" xfId="0" applyFont="1" applyFill="1" applyBorder="1"/>
    <xf numFmtId="2" fontId="2" fillId="8" borderId="2" xfId="0" applyNumberFormat="1" applyFont="1" applyFill="1" applyBorder="1" applyAlignment="1">
      <alignment horizontal="right"/>
    </xf>
    <xf numFmtId="0" fontId="2" fillId="8" borderId="3" xfId="0" applyFont="1" applyFill="1" applyBorder="1"/>
    <xf numFmtId="0" fontId="6" fillId="9" borderId="5" xfId="0" applyFont="1" applyFill="1" applyBorder="1"/>
    <xf numFmtId="164" fontId="2" fillId="0" borderId="2" xfId="0" applyNumberFormat="1" applyFont="1" applyFill="1" applyBorder="1"/>
    <xf numFmtId="164" fontId="2" fillId="0" borderId="4" xfId="0" applyNumberFormat="1" applyFont="1" applyFill="1" applyBorder="1"/>
    <xf numFmtId="164" fontId="8" fillId="0" borderId="2" xfId="0" applyNumberFormat="1" applyFont="1" applyFill="1" applyBorder="1"/>
    <xf numFmtId="0" fontId="2" fillId="0" borderId="2" xfId="0" applyFont="1" applyFill="1" applyBorder="1" applyAlignment="1">
      <alignment horizontal="left"/>
    </xf>
    <xf numFmtId="0" fontId="2" fillId="8" borderId="5" xfId="0" applyFont="1" applyFill="1" applyBorder="1"/>
    <xf numFmtId="2" fontId="2" fillId="8" borderId="0" xfId="0" applyNumberFormat="1" applyFont="1" applyFill="1" applyBorder="1" applyAlignment="1">
      <alignment horizontal="right"/>
    </xf>
    <xf numFmtId="0" fontId="2" fillId="8" borderId="0" xfId="0" applyFont="1" applyFill="1" applyBorder="1"/>
    <xf numFmtId="0" fontId="9" fillId="8" borderId="2" xfId="0" applyFont="1" applyFill="1" applyBorder="1"/>
    <xf numFmtId="164" fontId="8" fillId="0" borderId="0" xfId="0" applyNumberFormat="1" applyFont="1" applyFill="1" applyBorder="1"/>
    <xf numFmtId="3" fontId="2" fillId="0" borderId="0" xfId="0" applyNumberFormat="1" applyFont="1" applyFill="1" applyBorder="1"/>
    <xf numFmtId="164" fontId="2" fillId="0" borderId="0" xfId="0" applyNumberFormat="1" applyFont="1" applyBorder="1"/>
    <xf numFmtId="164" fontId="8" fillId="0" borderId="2" xfId="0" applyNumberFormat="1" applyFont="1" applyBorder="1"/>
    <xf numFmtId="3" fontId="0" fillId="3" borderId="2" xfId="0" applyNumberFormat="1" applyFill="1" applyBorder="1"/>
    <xf numFmtId="164" fontId="0" fillId="3" borderId="2" xfId="0" applyNumberFormat="1" applyFill="1" applyBorder="1"/>
    <xf numFmtId="0" fontId="10" fillId="4" borderId="0" xfId="0" applyFont="1" applyFill="1"/>
    <xf numFmtId="0" fontId="5" fillId="4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center"/>
    </xf>
    <xf numFmtId="2" fontId="2" fillId="0" borderId="2" xfId="0" applyNumberFormat="1" applyFont="1" applyBorder="1"/>
    <xf numFmtId="2" fontId="2" fillId="0" borderId="0" xfId="0" applyNumberFormat="1" applyFont="1"/>
    <xf numFmtId="2" fontId="2" fillId="5" borderId="2" xfId="0" applyNumberFormat="1" applyFont="1" applyFill="1" applyBorder="1"/>
    <xf numFmtId="4" fontId="2" fillId="0" borderId="2" xfId="0" applyNumberFormat="1" applyFont="1" applyFill="1" applyBorder="1" applyAlignment="1">
      <alignment horizontal="right"/>
    </xf>
    <xf numFmtId="1" fontId="2" fillId="0" borderId="2" xfId="0" applyNumberFormat="1" applyFont="1" applyFill="1" applyBorder="1" applyAlignment="1">
      <alignment horizontal="right"/>
    </xf>
    <xf numFmtId="3" fontId="1" fillId="0" borderId="2" xfId="0" applyNumberFormat="1" applyFont="1" applyFill="1" applyBorder="1"/>
    <xf numFmtId="0" fontId="6" fillId="9" borderId="0" xfId="0" applyFont="1" applyFill="1" applyBorder="1"/>
    <xf numFmtId="0" fontId="6" fillId="8" borderId="2" xfId="0" applyFont="1" applyFill="1" applyBorder="1"/>
    <xf numFmtId="3" fontId="11" fillId="0" borderId="2" xfId="0" applyNumberFormat="1" applyFont="1" applyBorder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right"/>
    </xf>
    <xf numFmtId="0" fontId="2" fillId="0" borderId="8" xfId="0" applyFont="1" applyBorder="1" applyAlignment="1">
      <alignment horizontal="left"/>
    </xf>
    <xf numFmtId="4" fontId="2" fillId="0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18" sqref="B18"/>
    </sheetView>
  </sheetViews>
  <sheetFormatPr defaultColWidth="9.109375" defaultRowHeight="13.8" x14ac:dyDescent="0.25"/>
  <cols>
    <col min="1" max="1" width="43.5546875" style="13" customWidth="1"/>
    <col min="2" max="2" width="15" style="13" customWidth="1"/>
    <col min="3" max="3" width="20.6640625" style="13" customWidth="1"/>
    <col min="4" max="4" width="25" style="13" customWidth="1"/>
    <col min="5" max="16384" width="9.109375" style="13"/>
  </cols>
  <sheetData>
    <row r="1" spans="1:4" s="42" customFormat="1" ht="17.399999999999999" x14ac:dyDescent="0.3">
      <c r="A1" s="41" t="s">
        <v>102</v>
      </c>
    </row>
    <row r="3" spans="1:4" x14ac:dyDescent="0.25">
      <c r="A3" s="21" t="s">
        <v>101</v>
      </c>
      <c r="B3" s="22" t="s">
        <v>0</v>
      </c>
      <c r="C3" s="21" t="s">
        <v>1</v>
      </c>
      <c r="D3" s="14" t="s">
        <v>50</v>
      </c>
    </row>
    <row r="4" spans="1:4" x14ac:dyDescent="0.25">
      <c r="A4" s="23" t="s">
        <v>3</v>
      </c>
      <c r="B4" s="24">
        <v>10000000</v>
      </c>
      <c r="C4" s="25" t="s">
        <v>4</v>
      </c>
      <c r="D4" s="23" t="s">
        <v>54</v>
      </c>
    </row>
    <row r="5" spans="1:4" x14ac:dyDescent="0.25">
      <c r="A5" s="23" t="s">
        <v>3</v>
      </c>
      <c r="B5" s="24">
        <f>B4*B12</f>
        <v>33610000</v>
      </c>
      <c r="C5" s="25" t="s">
        <v>6</v>
      </c>
      <c r="D5" s="23" t="s">
        <v>59</v>
      </c>
    </row>
    <row r="6" spans="1:4" x14ac:dyDescent="0.25">
      <c r="A6" s="23" t="s">
        <v>77</v>
      </c>
      <c r="B6" s="24">
        <f>B5*B13</f>
        <v>35021620</v>
      </c>
      <c r="C6" s="23" t="s">
        <v>6</v>
      </c>
      <c r="D6" s="23" t="s">
        <v>59</v>
      </c>
    </row>
    <row r="7" spans="1:4" x14ac:dyDescent="0.25">
      <c r="A7" s="23" t="s">
        <v>37</v>
      </c>
      <c r="B7" s="31">
        <f>'Collection&amp;Transportation'!B11</f>
        <v>507152197.68955684</v>
      </c>
      <c r="C7" s="23" t="s">
        <v>6</v>
      </c>
      <c r="D7" s="11" t="s">
        <v>59</v>
      </c>
    </row>
    <row r="8" spans="1:4" x14ac:dyDescent="0.25">
      <c r="A8" s="26"/>
      <c r="B8" s="43"/>
      <c r="C8" s="26"/>
      <c r="D8" s="44"/>
    </row>
    <row r="9" spans="1:4" x14ac:dyDescent="0.25">
      <c r="A9" s="26"/>
      <c r="B9" s="43"/>
      <c r="C9" s="26"/>
      <c r="D9" s="44"/>
    </row>
    <row r="10" spans="1:4" x14ac:dyDescent="0.25">
      <c r="A10" s="47" t="s">
        <v>68</v>
      </c>
      <c r="B10" s="46"/>
      <c r="C10" s="45"/>
      <c r="D10" s="46"/>
    </row>
    <row r="11" spans="1:4" x14ac:dyDescent="0.25">
      <c r="A11" s="27" t="s">
        <v>78</v>
      </c>
      <c r="B11" s="27" t="s">
        <v>0</v>
      </c>
      <c r="C11" s="27" t="s">
        <v>1</v>
      </c>
      <c r="D11" s="28" t="s">
        <v>50</v>
      </c>
    </row>
    <row r="12" spans="1:4" x14ac:dyDescent="0.25">
      <c r="A12" s="23" t="s">
        <v>55</v>
      </c>
      <c r="B12" s="29">
        <f>3361/1000</f>
        <v>3.3610000000000002</v>
      </c>
      <c r="C12" s="30" t="s">
        <v>7</v>
      </c>
      <c r="D12" s="11" t="s">
        <v>76</v>
      </c>
    </row>
    <row r="13" spans="1:4" x14ac:dyDescent="0.25">
      <c r="A13" s="23" t="s">
        <v>74</v>
      </c>
      <c r="B13" s="29">
        <v>1.042</v>
      </c>
      <c r="C13" s="30" t="s">
        <v>75</v>
      </c>
      <c r="D13" s="11" t="s">
        <v>51</v>
      </c>
    </row>
    <row r="14" spans="1:4" x14ac:dyDescent="0.25">
      <c r="A14" s="23" t="s">
        <v>335</v>
      </c>
      <c r="B14" s="32">
        <f>B6/B7</f>
        <v>6.9055443631218946E-2</v>
      </c>
      <c r="C14" s="30" t="s">
        <v>334</v>
      </c>
      <c r="D14" s="11" t="s">
        <v>311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Normal="100" workbookViewId="0">
      <pane ySplit="1" topLeftCell="A2" activePane="bottomLeft" state="frozenSplit"/>
      <selection pane="bottomLeft" activeCell="G32" sqref="G32"/>
    </sheetView>
  </sheetViews>
  <sheetFormatPr defaultColWidth="9.109375" defaultRowHeight="13.8" x14ac:dyDescent="0.25"/>
  <cols>
    <col min="1" max="1" width="21.44140625" style="13" customWidth="1"/>
    <col min="2" max="2" width="17.109375" style="13" customWidth="1"/>
    <col min="3" max="3" width="26.109375" style="13" customWidth="1"/>
    <col min="4" max="4" width="28.109375" style="13" customWidth="1"/>
    <col min="5" max="6" width="9.109375" style="13"/>
    <col min="7" max="7" width="24.5546875" style="13" customWidth="1"/>
    <col min="8" max="8" width="21.44140625" style="13" customWidth="1"/>
    <col min="9" max="9" width="26" style="13" customWidth="1"/>
    <col min="10" max="16384" width="9.109375" style="13"/>
  </cols>
  <sheetData>
    <row r="1" spans="1:10" s="42" customFormat="1" ht="17.399999999999999" x14ac:dyDescent="0.3">
      <c r="A1" s="41" t="s">
        <v>92</v>
      </c>
    </row>
    <row r="2" spans="1:10" x14ac:dyDescent="0.25">
      <c r="D2" s="19"/>
    </row>
    <row r="3" spans="1:10" x14ac:dyDescent="0.25">
      <c r="A3" s="18" t="s">
        <v>83</v>
      </c>
      <c r="B3" s="12"/>
      <c r="C3" s="12"/>
      <c r="D3" s="20"/>
      <c r="G3" s="18" t="s">
        <v>85</v>
      </c>
      <c r="H3" s="12"/>
      <c r="I3" s="12"/>
      <c r="J3" s="20"/>
    </row>
    <row r="4" spans="1:10" ht="14.4" x14ac:dyDescent="0.3">
      <c r="A4" s="7" t="s">
        <v>28</v>
      </c>
      <c r="B4" s="5" t="s">
        <v>0</v>
      </c>
      <c r="C4" s="5" t="s">
        <v>1</v>
      </c>
      <c r="D4" s="19"/>
      <c r="G4" s="7" t="s">
        <v>28</v>
      </c>
      <c r="H4" s="5" t="s">
        <v>0</v>
      </c>
      <c r="I4" s="5" t="s">
        <v>1</v>
      </c>
      <c r="J4" s="19"/>
    </row>
    <row r="5" spans="1:10" ht="14.4" x14ac:dyDescent="0.3">
      <c r="A5" s="3" t="s">
        <v>64</v>
      </c>
      <c r="B5" s="4">
        <f>B28/1000*B11</f>
        <v>4462939.3396681007</v>
      </c>
      <c r="C5" s="3" t="s">
        <v>6</v>
      </c>
      <c r="D5" s="19"/>
      <c r="G5" s="3" t="s">
        <v>64</v>
      </c>
      <c r="H5" s="37">
        <f>B5/MassFlow!B5</f>
        <v>0.1327860559258584</v>
      </c>
      <c r="I5" s="3" t="s">
        <v>36</v>
      </c>
      <c r="J5" s="19"/>
    </row>
    <row r="6" spans="1:10" ht="14.4" x14ac:dyDescent="0.3">
      <c r="A6" s="3" t="s">
        <v>63</v>
      </c>
      <c r="B6" s="4">
        <f>B29/1000*B11</f>
        <v>304291.3186137341</v>
      </c>
      <c r="C6" s="3" t="s">
        <v>6</v>
      </c>
      <c r="D6" s="19"/>
      <c r="G6" s="3" t="s">
        <v>63</v>
      </c>
      <c r="H6" s="37">
        <f>B6/MassFlow!B5</f>
        <v>9.0535947222176172E-3</v>
      </c>
      <c r="I6" s="3" t="s">
        <v>36</v>
      </c>
      <c r="J6" s="19"/>
    </row>
    <row r="7" spans="1:10" ht="14.4" x14ac:dyDescent="0.3">
      <c r="A7" s="3" t="s">
        <v>62</v>
      </c>
      <c r="B7" s="2">
        <f>B30/1000*B11</f>
        <v>3651495.8233648092</v>
      </c>
      <c r="C7" s="3" t="s">
        <v>6</v>
      </c>
      <c r="D7" s="19"/>
      <c r="G7" s="3" t="s">
        <v>62</v>
      </c>
      <c r="H7" s="37">
        <f>B7/MassFlow!B5</f>
        <v>0.10864313666661141</v>
      </c>
      <c r="I7" s="3" t="s">
        <v>36</v>
      </c>
      <c r="J7" s="19"/>
    </row>
    <row r="8" spans="1:10" ht="14.4" x14ac:dyDescent="0.3">
      <c r="A8" s="3" t="s">
        <v>30</v>
      </c>
      <c r="B8" s="2">
        <f>B39*B41/1000*B11</f>
        <v>2289082.1594915837</v>
      </c>
      <c r="C8" s="3" t="s">
        <v>6</v>
      </c>
      <c r="D8" s="19"/>
      <c r="G8" s="3" t="s">
        <v>30</v>
      </c>
      <c r="H8" s="37">
        <f>B8/MassFlow!B5</f>
        <v>6.8107175230335729E-2</v>
      </c>
      <c r="I8" s="3" t="s">
        <v>36</v>
      </c>
      <c r="J8" s="19"/>
    </row>
    <row r="9" spans="1:10" ht="14.4" x14ac:dyDescent="0.3">
      <c r="A9" s="3" t="s">
        <v>32</v>
      </c>
      <c r="B9" s="2">
        <f>B40*B41/1000*B11</f>
        <v>610562.55940724828</v>
      </c>
      <c r="C9" s="3" t="s">
        <v>6</v>
      </c>
      <c r="D9" s="19"/>
      <c r="G9" s="3" t="s">
        <v>32</v>
      </c>
      <c r="H9" s="37">
        <f>B9/MassFlow!B5</f>
        <v>1.8166098167427796E-2</v>
      </c>
      <c r="I9" s="3" t="s">
        <v>36</v>
      </c>
      <c r="J9" s="19"/>
    </row>
    <row r="10" spans="1:10" ht="14.4" x14ac:dyDescent="0.3">
      <c r="A10" s="7" t="s">
        <v>35</v>
      </c>
      <c r="B10" s="5" t="s">
        <v>0</v>
      </c>
      <c r="C10" s="5" t="s">
        <v>1</v>
      </c>
      <c r="D10" s="19"/>
      <c r="G10" s="7" t="s">
        <v>35</v>
      </c>
      <c r="H10" s="5" t="s">
        <v>0</v>
      </c>
      <c r="I10" s="5" t="s">
        <v>1</v>
      </c>
      <c r="J10" s="19"/>
    </row>
    <row r="11" spans="1:10" ht="14.4" x14ac:dyDescent="0.3">
      <c r="A11" s="3" t="s">
        <v>37</v>
      </c>
      <c r="B11" s="4">
        <f>'Pretreatment&amp;Hydrolysis'!B10*('Pretreatment&amp;Hydrolysis'!B49+'Pretreatment&amp;Hydrolysis'!B50)/('Pretreatment&amp;Hydrolysis'!B46*100*0.1*(0.99*(B45/100*1.1+B46/100*1.05)))</f>
        <v>507152197.68955684</v>
      </c>
      <c r="C11" s="3" t="s">
        <v>6</v>
      </c>
      <c r="D11" s="19"/>
      <c r="G11" s="3" t="s">
        <v>37</v>
      </c>
      <c r="H11" s="37">
        <f>B11/MassFlow!B5</f>
        <v>15.089324537029361</v>
      </c>
      <c r="I11" s="3" t="s">
        <v>36</v>
      </c>
      <c r="J11" s="19"/>
    </row>
    <row r="12" spans="1:10" x14ac:dyDescent="0.25">
      <c r="D12" s="19"/>
      <c r="J12" s="19"/>
    </row>
    <row r="13" spans="1:10" x14ac:dyDescent="0.25">
      <c r="A13" s="18" t="s">
        <v>84</v>
      </c>
      <c r="B13" s="12"/>
      <c r="C13" s="12"/>
      <c r="D13" s="20"/>
      <c r="G13" s="18" t="s">
        <v>86</v>
      </c>
      <c r="H13" s="12"/>
      <c r="I13" s="12"/>
      <c r="J13" s="20"/>
    </row>
    <row r="14" spans="1:10" ht="14.4" x14ac:dyDescent="0.3">
      <c r="A14" s="6" t="s">
        <v>29</v>
      </c>
      <c r="B14" s="7" t="s">
        <v>0</v>
      </c>
      <c r="C14" s="7" t="s">
        <v>1</v>
      </c>
      <c r="D14" s="19"/>
      <c r="G14" s="6" t="s">
        <v>29</v>
      </c>
      <c r="H14" s="7" t="s">
        <v>0</v>
      </c>
      <c r="I14" s="7" t="s">
        <v>1</v>
      </c>
      <c r="J14" s="19"/>
    </row>
    <row r="15" spans="1:10" ht="14.4" x14ac:dyDescent="0.3">
      <c r="A15" s="3" t="s">
        <v>64</v>
      </c>
      <c r="B15" s="82">
        <f>B5*B33</f>
        <v>212882206.50216842</v>
      </c>
      <c r="C15" s="1" t="s">
        <v>31</v>
      </c>
      <c r="G15" s="3" t="s">
        <v>64</v>
      </c>
      <c r="H15" s="83">
        <f>B15/MassFlow!B5</f>
        <v>6.3338948676634459</v>
      </c>
      <c r="I15" s="1" t="s">
        <v>10</v>
      </c>
      <c r="J15" s="13" t="s">
        <v>90</v>
      </c>
    </row>
    <row r="16" spans="1:10" ht="14.4" x14ac:dyDescent="0.3">
      <c r="A16" s="3" t="s">
        <v>63</v>
      </c>
      <c r="B16" s="82">
        <f>B6*B34</f>
        <v>4062289.1034933501</v>
      </c>
      <c r="C16" s="1" t="s">
        <v>31</v>
      </c>
      <c r="G16" s="3" t="s">
        <v>63</v>
      </c>
      <c r="H16" s="83">
        <f>B16/MassFlow!B5</f>
        <v>0.12086548954160518</v>
      </c>
      <c r="I16" s="1" t="s">
        <v>10</v>
      </c>
      <c r="J16" s="13" t="s">
        <v>90</v>
      </c>
    </row>
    <row r="17" spans="1:10" ht="14.4" x14ac:dyDescent="0.3">
      <c r="A17" s="3" t="s">
        <v>62</v>
      </c>
      <c r="B17" s="82">
        <f>B7*B35</f>
        <v>29540601.211021304</v>
      </c>
      <c r="C17" s="1" t="s">
        <v>31</v>
      </c>
      <c r="G17" s="3" t="s">
        <v>62</v>
      </c>
      <c r="H17" s="83">
        <f>B17/MassFlow!B5</f>
        <v>0.87892297563288613</v>
      </c>
      <c r="I17" s="1" t="s">
        <v>10</v>
      </c>
      <c r="J17" s="13" t="s">
        <v>90</v>
      </c>
    </row>
    <row r="18" spans="1:10" ht="14.4" x14ac:dyDescent="0.3">
      <c r="A18" s="1" t="s">
        <v>30</v>
      </c>
      <c r="B18" s="2">
        <f>B8*B36/B41</f>
        <v>124633920.46270283</v>
      </c>
      <c r="C18" s="1" t="s">
        <v>31</v>
      </c>
      <c r="G18" s="1" t="s">
        <v>30</v>
      </c>
      <c r="H18" s="37">
        <f>B18/MassFlow!B5</f>
        <v>3.7082392282863084</v>
      </c>
      <c r="I18" s="1" t="s">
        <v>10</v>
      </c>
    </row>
    <row r="19" spans="1:10" ht="14.4" x14ac:dyDescent="0.3">
      <c r="A19" s="35" t="s">
        <v>32</v>
      </c>
      <c r="B19" s="36">
        <f>B9*B36/B41</f>
        <v>33243370.121572532</v>
      </c>
      <c r="C19" s="35" t="s">
        <v>31</v>
      </c>
      <c r="G19" s="35" t="s">
        <v>32</v>
      </c>
      <c r="H19" s="37">
        <f>B19/MassFlow!B5</f>
        <v>0.98909164301019137</v>
      </c>
      <c r="I19" s="1" t="s">
        <v>10</v>
      </c>
    </row>
    <row r="20" spans="1:10" ht="14.4" x14ac:dyDescent="0.3">
      <c r="A20" s="39" t="s">
        <v>88</v>
      </c>
      <c r="B20" s="93">
        <v>0</v>
      </c>
      <c r="C20" s="8" t="s">
        <v>31</v>
      </c>
      <c r="G20" s="39" t="s">
        <v>88</v>
      </c>
      <c r="H20" s="38">
        <v>0</v>
      </c>
      <c r="I20" s="8" t="s">
        <v>10</v>
      </c>
    </row>
    <row r="21" spans="1:10" ht="14.4" x14ac:dyDescent="0.3">
      <c r="A21" s="39" t="s">
        <v>69</v>
      </c>
      <c r="B21" s="93">
        <v>0</v>
      </c>
      <c r="C21" s="8" t="s">
        <v>31</v>
      </c>
      <c r="G21" s="39" t="s">
        <v>69</v>
      </c>
      <c r="H21" s="38">
        <v>0</v>
      </c>
      <c r="I21" s="8" t="s">
        <v>10</v>
      </c>
    </row>
    <row r="22" spans="1:10" ht="14.4" x14ac:dyDescent="0.3">
      <c r="A22" s="39" t="s">
        <v>89</v>
      </c>
      <c r="B22" s="93">
        <f>SUM(B15:B19)</f>
        <v>404362387.40095848</v>
      </c>
      <c r="C22" s="8" t="s">
        <v>31</v>
      </c>
      <c r="G22" s="39" t="s">
        <v>89</v>
      </c>
      <c r="H22" s="38">
        <f>SUM(H15:H19)</f>
        <v>12.031014204134436</v>
      </c>
      <c r="I22" s="8" t="s">
        <v>10</v>
      </c>
    </row>
    <row r="23" spans="1:10" ht="14.4" x14ac:dyDescent="0.3">
      <c r="A23" s="8" t="s">
        <v>33</v>
      </c>
      <c r="B23" s="93">
        <f>SUM(B15:B19)</f>
        <v>404362387.40095848</v>
      </c>
      <c r="C23" s="8" t="s">
        <v>31</v>
      </c>
      <c r="G23" s="8" t="s">
        <v>33</v>
      </c>
      <c r="H23" s="38">
        <f>SUM(H15:H19)</f>
        <v>12.031014204134436</v>
      </c>
      <c r="I23" s="8" t="s">
        <v>10</v>
      </c>
    </row>
    <row r="24" spans="1:10" ht="14.4" x14ac:dyDescent="0.3">
      <c r="A24" s="9"/>
      <c r="B24" s="10"/>
      <c r="C24" s="9"/>
    </row>
    <row r="26" spans="1:10" x14ac:dyDescent="0.25">
      <c r="A26" s="33" t="s">
        <v>68</v>
      </c>
      <c r="B26" s="34"/>
      <c r="C26" s="34"/>
      <c r="D26" s="34"/>
    </row>
    <row r="27" spans="1:10" x14ac:dyDescent="0.25">
      <c r="A27" s="14" t="s">
        <v>81</v>
      </c>
      <c r="B27" s="14" t="s">
        <v>0</v>
      </c>
      <c r="C27" s="14" t="s">
        <v>1</v>
      </c>
      <c r="D27" s="14" t="s">
        <v>50</v>
      </c>
    </row>
    <row r="28" spans="1:10" x14ac:dyDescent="0.25">
      <c r="A28" s="11" t="s">
        <v>47</v>
      </c>
      <c r="B28" s="11">
        <v>8.8000000000000007</v>
      </c>
      <c r="C28" s="11" t="s">
        <v>66</v>
      </c>
      <c r="D28" s="11" t="s">
        <v>71</v>
      </c>
    </row>
    <row r="29" spans="1:10" x14ac:dyDescent="0.25">
      <c r="A29" s="11" t="s">
        <v>49</v>
      </c>
      <c r="B29" s="11">
        <v>0.6</v>
      </c>
      <c r="C29" s="11" t="s">
        <v>66</v>
      </c>
      <c r="D29" s="11" t="s">
        <v>71</v>
      </c>
    </row>
    <row r="30" spans="1:10" x14ac:dyDescent="0.25">
      <c r="A30" s="15" t="s">
        <v>48</v>
      </c>
      <c r="B30" s="15">
        <v>7.2</v>
      </c>
      <c r="C30" s="15" t="s">
        <v>66</v>
      </c>
      <c r="D30" s="15" t="s">
        <v>72</v>
      </c>
    </row>
    <row r="31" spans="1:10" x14ac:dyDescent="0.25">
      <c r="A31" s="17"/>
      <c r="B31" s="17"/>
      <c r="C31" s="17"/>
      <c r="D31" s="17"/>
    </row>
    <row r="32" spans="1:10" x14ac:dyDescent="0.25">
      <c r="A32" s="16" t="s">
        <v>80</v>
      </c>
      <c r="B32" s="16" t="s">
        <v>0</v>
      </c>
      <c r="C32" s="16" t="s">
        <v>1</v>
      </c>
      <c r="D32" s="16" t="s">
        <v>50</v>
      </c>
    </row>
    <row r="33" spans="1:4" x14ac:dyDescent="0.25">
      <c r="A33" s="11" t="s">
        <v>13</v>
      </c>
      <c r="B33" s="11">
        <v>47.7</v>
      </c>
      <c r="C33" s="11" t="s">
        <v>10</v>
      </c>
      <c r="D33" s="11" t="s">
        <v>53</v>
      </c>
    </row>
    <row r="34" spans="1:4" x14ac:dyDescent="0.25">
      <c r="A34" s="11" t="s">
        <v>15</v>
      </c>
      <c r="B34" s="11">
        <v>13.35</v>
      </c>
      <c r="C34" s="11" t="s">
        <v>10</v>
      </c>
      <c r="D34" s="11" t="s">
        <v>53</v>
      </c>
    </row>
    <row r="35" spans="1:4" x14ac:dyDescent="0.25">
      <c r="A35" s="11" t="s">
        <v>19</v>
      </c>
      <c r="B35" s="11">
        <v>8.09</v>
      </c>
      <c r="C35" s="11" t="s">
        <v>10</v>
      </c>
      <c r="D35" s="11" t="s">
        <v>53</v>
      </c>
    </row>
    <row r="36" spans="1:4" x14ac:dyDescent="0.25">
      <c r="A36" s="15" t="s">
        <v>21</v>
      </c>
      <c r="B36" s="15">
        <v>45.3</v>
      </c>
      <c r="C36" s="15" t="s">
        <v>22</v>
      </c>
      <c r="D36" s="15" t="s">
        <v>53</v>
      </c>
    </row>
    <row r="37" spans="1:4" x14ac:dyDescent="0.25">
      <c r="A37" s="17"/>
      <c r="B37" s="17"/>
      <c r="C37" s="17"/>
      <c r="D37" s="17"/>
    </row>
    <row r="38" spans="1:4" x14ac:dyDescent="0.25">
      <c r="A38" s="16" t="s">
        <v>82</v>
      </c>
      <c r="B38" s="16" t="s">
        <v>0</v>
      </c>
      <c r="C38" s="16" t="s">
        <v>1</v>
      </c>
      <c r="D38" s="16" t="s">
        <v>50</v>
      </c>
    </row>
    <row r="39" spans="1:4" x14ac:dyDescent="0.25">
      <c r="A39" s="11" t="s">
        <v>57</v>
      </c>
      <c r="B39" s="11">
        <v>5.4249999999999998</v>
      </c>
      <c r="C39" s="11" t="s">
        <v>79</v>
      </c>
      <c r="D39" s="11" t="s">
        <v>73</v>
      </c>
    </row>
    <row r="40" spans="1:4" x14ac:dyDescent="0.25">
      <c r="A40" s="11" t="s">
        <v>58</v>
      </c>
      <c r="B40" s="11">
        <v>1.4470000000000001</v>
      </c>
      <c r="C40" s="11" t="s">
        <v>79</v>
      </c>
      <c r="D40" s="11" t="s">
        <v>73</v>
      </c>
    </row>
    <row r="41" spans="1:4" x14ac:dyDescent="0.25">
      <c r="A41" s="15" t="s">
        <v>61</v>
      </c>
      <c r="B41" s="15">
        <v>0.83199999999999996</v>
      </c>
      <c r="C41" s="15" t="s">
        <v>18</v>
      </c>
      <c r="D41" s="15" t="s">
        <v>56</v>
      </c>
    </row>
    <row r="42" spans="1:4" x14ac:dyDescent="0.25">
      <c r="A42" s="17"/>
      <c r="B42" s="17"/>
      <c r="C42" s="17"/>
      <c r="D42" s="17"/>
    </row>
    <row r="43" spans="1:4" x14ac:dyDescent="0.25">
      <c r="A43" s="16" t="s">
        <v>70</v>
      </c>
      <c r="B43" s="16" t="s">
        <v>0</v>
      </c>
      <c r="C43" s="16" t="s">
        <v>1</v>
      </c>
      <c r="D43" s="16" t="s">
        <v>50</v>
      </c>
    </row>
    <row r="44" spans="1:4" x14ac:dyDescent="0.25">
      <c r="A44" s="11" t="s">
        <v>67</v>
      </c>
      <c r="B44" s="11">
        <v>2</v>
      </c>
      <c r="C44" s="11" t="s">
        <v>65</v>
      </c>
      <c r="D44" s="11" t="s">
        <v>87</v>
      </c>
    </row>
    <row r="45" spans="1:4" x14ac:dyDescent="0.25">
      <c r="A45" s="11" t="s">
        <v>119</v>
      </c>
      <c r="B45" s="11">
        <v>36.200000000000003</v>
      </c>
      <c r="C45" s="11" t="s">
        <v>46</v>
      </c>
      <c r="D45" s="11" t="s">
        <v>196</v>
      </c>
    </row>
    <row r="46" spans="1:4" x14ac:dyDescent="0.25">
      <c r="A46" s="11" t="s">
        <v>120</v>
      </c>
      <c r="B46" s="11">
        <v>22</v>
      </c>
      <c r="C46" s="11" t="s">
        <v>46</v>
      </c>
      <c r="D46" s="11" t="s">
        <v>196</v>
      </c>
    </row>
    <row r="47" spans="1:4" x14ac:dyDescent="0.25">
      <c r="A47" s="11" t="s">
        <v>40</v>
      </c>
      <c r="B47" s="11">
        <v>18.600000000000001</v>
      </c>
      <c r="C47" s="11" t="s">
        <v>46</v>
      </c>
      <c r="D47" s="11" t="s">
        <v>196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83"/>
  <sheetViews>
    <sheetView zoomScaleNormal="100" workbookViewId="0">
      <pane ySplit="1" topLeftCell="A5" activePane="bottomLeft" state="frozenSplit"/>
      <selection pane="bottomLeft" activeCell="G20" sqref="G20"/>
    </sheetView>
  </sheetViews>
  <sheetFormatPr defaultColWidth="9.109375" defaultRowHeight="13.8" x14ac:dyDescent="0.25"/>
  <cols>
    <col min="1" max="1" width="39.109375" style="13" customWidth="1"/>
    <col min="2" max="2" width="17.109375" style="13" customWidth="1"/>
    <col min="3" max="3" width="26.109375" style="13" customWidth="1"/>
    <col min="4" max="4" width="20.33203125" style="13" customWidth="1"/>
    <col min="5" max="6" width="9.109375" style="13"/>
    <col min="7" max="7" width="39.33203125" style="13" customWidth="1"/>
    <col min="8" max="8" width="21.33203125" style="13" customWidth="1"/>
    <col min="9" max="9" width="17" style="13" customWidth="1"/>
    <col min="10" max="16384" width="9.109375" style="13"/>
  </cols>
  <sheetData>
    <row r="1" spans="1:10" s="42" customFormat="1" ht="17.399999999999999" x14ac:dyDescent="0.3">
      <c r="A1" s="41" t="s">
        <v>91</v>
      </c>
    </row>
    <row r="2" spans="1:10" x14ac:dyDescent="0.25">
      <c r="D2" s="19"/>
    </row>
    <row r="3" spans="1:10" x14ac:dyDescent="0.25">
      <c r="A3" s="18" t="s">
        <v>83</v>
      </c>
      <c r="B3" s="12"/>
      <c r="C3" s="12"/>
      <c r="D3" s="20"/>
      <c r="G3" s="18" t="s">
        <v>145</v>
      </c>
      <c r="H3" s="12"/>
      <c r="I3" s="12"/>
      <c r="J3" s="20"/>
    </row>
    <row r="4" spans="1:10" x14ac:dyDescent="0.25">
      <c r="A4" s="48" t="s">
        <v>28</v>
      </c>
      <c r="B4" s="48" t="s">
        <v>0</v>
      </c>
      <c r="C4" s="48" t="s">
        <v>1</v>
      </c>
      <c r="D4" s="19"/>
      <c r="G4" s="48" t="s">
        <v>28</v>
      </c>
      <c r="H4" s="48" t="s">
        <v>0</v>
      </c>
      <c r="I4" s="48" t="s">
        <v>1</v>
      </c>
      <c r="J4" s="19"/>
    </row>
    <row r="5" spans="1:10" x14ac:dyDescent="0.25">
      <c r="A5" s="11" t="s">
        <v>38</v>
      </c>
      <c r="B5" s="31">
        <f>B29/B28*'Collection&amp;Transportation'!B11/2</f>
        <v>50715219.768955685</v>
      </c>
      <c r="C5" s="11" t="s">
        <v>6</v>
      </c>
      <c r="D5" s="19"/>
      <c r="G5" s="11" t="s">
        <v>38</v>
      </c>
      <c r="H5" s="32">
        <f>B5/MassFlow!B5</f>
        <v>1.5089324537029363</v>
      </c>
      <c r="I5" s="11" t="s">
        <v>36</v>
      </c>
      <c r="J5" s="19"/>
    </row>
    <row r="6" spans="1:10" x14ac:dyDescent="0.25">
      <c r="A6" s="11" t="s">
        <v>108</v>
      </c>
      <c r="B6" s="31">
        <f>B30/B28*'Collection&amp;Transportation'!B11/2</f>
        <v>50715219.768955685</v>
      </c>
      <c r="C6" s="11" t="s">
        <v>6</v>
      </c>
      <c r="D6" s="19"/>
      <c r="G6" s="11" t="s">
        <v>108</v>
      </c>
      <c r="H6" s="32">
        <f>B6/MassFlow!B5</f>
        <v>1.5089324537029363</v>
      </c>
      <c r="I6" s="11" t="s">
        <v>36</v>
      </c>
      <c r="J6" s="19"/>
    </row>
    <row r="7" spans="1:10" x14ac:dyDescent="0.25">
      <c r="A7" s="11" t="s">
        <v>39</v>
      </c>
      <c r="B7" s="24">
        <f>B10+B11-B5-B6-B8-'Collection&amp;Transportation'!B11</f>
        <v>4447801738.7581091</v>
      </c>
      <c r="C7" s="11" t="s">
        <v>6</v>
      </c>
      <c r="D7" s="19"/>
      <c r="G7" s="11" t="s">
        <v>39</v>
      </c>
      <c r="H7" s="32">
        <f>B7/MassFlow!B5</f>
        <v>132.33566613383246</v>
      </c>
      <c r="I7" s="11" t="s">
        <v>36</v>
      </c>
      <c r="J7" s="19"/>
    </row>
    <row r="8" spans="1:10" x14ac:dyDescent="0.25">
      <c r="A8" s="23" t="s">
        <v>112</v>
      </c>
      <c r="B8" s="24">
        <f>(B38+B39)*'Collection&amp;Transportation'!B11/1000</f>
        <v>11299350.964523327</v>
      </c>
      <c r="C8" s="23" t="s">
        <v>6</v>
      </c>
      <c r="D8" s="19"/>
      <c r="G8" s="23" t="s">
        <v>112</v>
      </c>
      <c r="H8" s="32">
        <f>B8/MassFlow!B5</f>
        <v>0.33619015068501418</v>
      </c>
      <c r="I8" s="11" t="s">
        <v>36</v>
      </c>
      <c r="J8" s="19"/>
    </row>
    <row r="9" spans="1:10" x14ac:dyDescent="0.25">
      <c r="A9" s="48" t="s">
        <v>35</v>
      </c>
      <c r="B9" s="48" t="s">
        <v>0</v>
      </c>
      <c r="C9" s="48" t="s">
        <v>1</v>
      </c>
      <c r="D9" s="19"/>
      <c r="G9" s="48" t="s">
        <v>35</v>
      </c>
      <c r="H9" s="48" t="s">
        <v>0</v>
      </c>
      <c r="I9" s="48" t="s">
        <v>1</v>
      </c>
      <c r="J9" s="19"/>
    </row>
    <row r="10" spans="1:10" x14ac:dyDescent="0.25">
      <c r="A10" s="11" t="s">
        <v>118</v>
      </c>
      <c r="B10" s="31">
        <f>FungalLipidFermentation!B5</f>
        <v>4738318123.7019939</v>
      </c>
      <c r="C10" s="11" t="s">
        <v>6</v>
      </c>
      <c r="D10" s="19"/>
      <c r="G10" s="11" t="s">
        <v>118</v>
      </c>
      <c r="H10" s="32">
        <f>B10/MassFlow!B5</f>
        <v>140.97941457012774</v>
      </c>
      <c r="I10" s="11" t="s">
        <v>36</v>
      </c>
      <c r="J10" s="19"/>
    </row>
    <row r="11" spans="1:10" x14ac:dyDescent="0.25">
      <c r="A11" s="23" t="s">
        <v>144</v>
      </c>
      <c r="B11" s="31">
        <f>'Collection&amp;Transportation'!B11*'Collection&amp;Transportation'!B47/100/B55*100/B54*100</f>
        <v>329365603.24810612</v>
      </c>
      <c r="C11" s="11" t="s">
        <v>6</v>
      </c>
      <c r="D11" s="19"/>
      <c r="G11" s="23" t="s">
        <v>144</v>
      </c>
      <c r="H11" s="32">
        <f>B11/MassFlow!B5</f>
        <v>9.799631158824937</v>
      </c>
      <c r="I11" s="11" t="s">
        <v>36</v>
      </c>
      <c r="J11" s="19"/>
    </row>
    <row r="12" spans="1:10" x14ac:dyDescent="0.25">
      <c r="A12" s="44"/>
      <c r="B12" s="43"/>
      <c r="C12" s="44"/>
      <c r="D12" s="19"/>
      <c r="G12" s="44"/>
      <c r="H12" s="43"/>
      <c r="I12" s="44"/>
      <c r="J12" s="19"/>
    </row>
    <row r="13" spans="1:10" x14ac:dyDescent="0.25">
      <c r="D13" s="19"/>
      <c r="J13" s="19"/>
    </row>
    <row r="14" spans="1:10" x14ac:dyDescent="0.25">
      <c r="A14" s="18" t="s">
        <v>84</v>
      </c>
      <c r="B14" s="12"/>
      <c r="C14" s="12"/>
      <c r="D14" s="20"/>
      <c r="G14" s="18" t="s">
        <v>146</v>
      </c>
      <c r="H14" s="12"/>
      <c r="I14" s="12"/>
      <c r="J14" s="20"/>
    </row>
    <row r="15" spans="1:10" x14ac:dyDescent="0.25">
      <c r="A15" s="49" t="s">
        <v>29</v>
      </c>
      <c r="B15" s="48" t="s">
        <v>0</v>
      </c>
      <c r="C15" s="48" t="s">
        <v>1</v>
      </c>
      <c r="D15" s="19"/>
      <c r="G15" s="49" t="s">
        <v>29</v>
      </c>
      <c r="H15" s="48" t="s">
        <v>0</v>
      </c>
      <c r="I15" s="48" t="s">
        <v>1</v>
      </c>
      <c r="J15" s="19"/>
    </row>
    <row r="16" spans="1:10" x14ac:dyDescent="0.25">
      <c r="A16" s="11" t="s">
        <v>109</v>
      </c>
      <c r="B16" s="24">
        <f>(B69-B70/2-B71)*'Collection&amp;Transportation'!B11/1000</f>
        <v>977789437.14546585</v>
      </c>
      <c r="C16" s="23" t="s">
        <v>31</v>
      </c>
      <c r="G16" s="11" t="s">
        <v>109</v>
      </c>
      <c r="H16" s="32">
        <f>B16/MassFlow!B5</f>
        <v>29.092217707392617</v>
      </c>
      <c r="I16" s="23" t="s">
        <v>10</v>
      </c>
    </row>
    <row r="17" spans="1:10" x14ac:dyDescent="0.25">
      <c r="A17" s="11" t="s">
        <v>139</v>
      </c>
      <c r="B17" s="24">
        <f>B34*'Collection&amp;Transportation'!B11</f>
        <v>91287395.584120229</v>
      </c>
      <c r="C17" s="23" t="s">
        <v>31</v>
      </c>
      <c r="G17" s="11" t="s">
        <v>139</v>
      </c>
      <c r="H17" s="32">
        <f>B17/MassFlow!B5</f>
        <v>2.7160784166652849</v>
      </c>
      <c r="I17" s="23" t="s">
        <v>10</v>
      </c>
    </row>
    <row r="18" spans="1:10" x14ac:dyDescent="0.25">
      <c r="A18" s="11" t="s">
        <v>110</v>
      </c>
      <c r="B18" s="24">
        <f>B67/B62*'Collection&amp;Transportation'!B11/1000</f>
        <v>1883971.4601081493</v>
      </c>
      <c r="C18" s="23" t="s">
        <v>31</v>
      </c>
      <c r="D18" s="13" t="s">
        <v>121</v>
      </c>
      <c r="G18" s="11" t="s">
        <v>110</v>
      </c>
      <c r="H18" s="32">
        <f>B18/MassFlow!B5</f>
        <v>5.6053896462604863E-2</v>
      </c>
      <c r="I18" s="23" t="s">
        <v>10</v>
      </c>
      <c r="J18" s="13" t="s">
        <v>121</v>
      </c>
    </row>
    <row r="19" spans="1:10" x14ac:dyDescent="0.25">
      <c r="A19" s="11" t="s">
        <v>111</v>
      </c>
      <c r="B19" s="24">
        <f>B68/B62*'Collection&amp;Transportation'!B11/1000</f>
        <v>131878002.20757048</v>
      </c>
      <c r="C19" s="23" t="s">
        <v>31</v>
      </c>
      <c r="D19" s="13" t="s">
        <v>121</v>
      </c>
      <c r="G19" s="11" t="s">
        <v>111</v>
      </c>
      <c r="H19" s="32">
        <f>B19/MassFlow!B5</f>
        <v>3.9237727523823409</v>
      </c>
      <c r="I19" s="23" t="s">
        <v>10</v>
      </c>
      <c r="J19" s="13" t="s">
        <v>121</v>
      </c>
    </row>
    <row r="20" spans="1:10" x14ac:dyDescent="0.25">
      <c r="A20" s="11" t="s">
        <v>350</v>
      </c>
      <c r="B20" s="24">
        <f>B83*B11*B54/100/1000</f>
        <v>36510882.9034881</v>
      </c>
      <c r="C20" s="23" t="s">
        <v>31</v>
      </c>
      <c r="G20" s="11" t="s">
        <v>350</v>
      </c>
      <c r="H20" s="32">
        <f>B20/MassFlow!B6</f>
        <v>1.0425241009264592</v>
      </c>
      <c r="I20" s="23" t="s">
        <v>10</v>
      </c>
    </row>
    <row r="21" spans="1:10" x14ac:dyDescent="0.25">
      <c r="A21" s="23" t="s">
        <v>122</v>
      </c>
      <c r="B21" s="24">
        <f>B16</f>
        <v>977789437.14546585</v>
      </c>
      <c r="C21" s="23" t="s">
        <v>31</v>
      </c>
      <c r="G21" s="23" t="s">
        <v>122</v>
      </c>
      <c r="H21" s="70">
        <f>H16</f>
        <v>29.092217707392617</v>
      </c>
      <c r="I21" s="23" t="s">
        <v>10</v>
      </c>
    </row>
    <row r="22" spans="1:10" x14ac:dyDescent="0.25">
      <c r="A22" s="50" t="s">
        <v>123</v>
      </c>
      <c r="B22" s="51">
        <f>B17+B18+B19+B20</f>
        <v>261560252.15528697</v>
      </c>
      <c r="C22" s="50" t="s">
        <v>31</v>
      </c>
      <c r="G22" s="50" t="s">
        <v>123</v>
      </c>
      <c r="H22" s="71">
        <f>H17+H18+H19+H20</f>
        <v>7.7384291664366902</v>
      </c>
      <c r="I22" s="50" t="s">
        <v>10</v>
      </c>
    </row>
    <row r="23" spans="1:10" x14ac:dyDescent="0.25">
      <c r="A23" s="52" t="s">
        <v>124</v>
      </c>
      <c r="B23" s="53">
        <f>SUM(B21:B22)</f>
        <v>1239349689.3007529</v>
      </c>
      <c r="C23" s="52" t="s">
        <v>31</v>
      </c>
      <c r="G23" s="52" t="s">
        <v>124</v>
      </c>
      <c r="H23" s="72">
        <f>SUM(H21:H22)</f>
        <v>36.830646873829309</v>
      </c>
      <c r="I23" s="52" t="s">
        <v>10</v>
      </c>
    </row>
    <row r="24" spans="1:10" x14ac:dyDescent="0.25">
      <c r="A24" s="54"/>
      <c r="B24" s="55"/>
      <c r="C24" s="54"/>
    </row>
    <row r="26" spans="1:10" x14ac:dyDescent="0.25">
      <c r="A26" s="33" t="s">
        <v>68</v>
      </c>
      <c r="B26" s="34"/>
      <c r="C26" s="34"/>
      <c r="D26" s="34"/>
    </row>
    <row r="27" spans="1:10" x14ac:dyDescent="0.25">
      <c r="A27" s="14" t="s">
        <v>99</v>
      </c>
      <c r="B27" s="14" t="s">
        <v>0</v>
      </c>
      <c r="C27" s="14" t="s">
        <v>1</v>
      </c>
      <c r="D27" s="14" t="s">
        <v>50</v>
      </c>
    </row>
    <row r="28" spans="1:10" x14ac:dyDescent="0.25">
      <c r="A28" s="11" t="s">
        <v>93</v>
      </c>
      <c r="B28" s="11">
        <v>10</v>
      </c>
      <c r="C28" s="11" t="s">
        <v>94</v>
      </c>
      <c r="D28" s="11" t="s">
        <v>196</v>
      </c>
    </row>
    <row r="29" spans="1:10" x14ac:dyDescent="0.25">
      <c r="A29" s="11" t="s">
        <v>38</v>
      </c>
      <c r="B29" s="11">
        <v>2</v>
      </c>
      <c r="C29" s="11" t="s">
        <v>94</v>
      </c>
      <c r="D29" s="11" t="s">
        <v>196</v>
      </c>
    </row>
    <row r="30" spans="1:10" x14ac:dyDescent="0.25">
      <c r="A30" s="11" t="s">
        <v>108</v>
      </c>
      <c r="B30" s="11">
        <v>2</v>
      </c>
      <c r="C30" s="11" t="s">
        <v>94</v>
      </c>
      <c r="D30" s="11" t="s">
        <v>196</v>
      </c>
    </row>
    <row r="31" spans="1:10" x14ac:dyDescent="0.25">
      <c r="A31" s="11" t="s">
        <v>95</v>
      </c>
      <c r="B31" s="11">
        <v>15</v>
      </c>
      <c r="C31" s="11" t="s">
        <v>34</v>
      </c>
      <c r="D31" s="11" t="s">
        <v>296</v>
      </c>
    </row>
    <row r="32" spans="1:10" x14ac:dyDescent="0.25">
      <c r="A32" s="11" t="s">
        <v>96</v>
      </c>
      <c r="B32" s="11">
        <v>130</v>
      </c>
      <c r="C32" s="11" t="s">
        <v>34</v>
      </c>
      <c r="D32" s="11" t="s">
        <v>196</v>
      </c>
    </row>
    <row r="33" spans="1:5" x14ac:dyDescent="0.25">
      <c r="A33" s="11" t="s">
        <v>125</v>
      </c>
      <c r="B33" s="11">
        <v>1</v>
      </c>
      <c r="C33" s="11" t="s">
        <v>126</v>
      </c>
      <c r="D33" s="11" t="s">
        <v>196</v>
      </c>
    </row>
    <row r="34" spans="1:5" x14ac:dyDescent="0.25">
      <c r="A34" s="11" t="s">
        <v>97</v>
      </c>
      <c r="B34" s="11">
        <v>0.18</v>
      </c>
      <c r="C34" s="11" t="s">
        <v>140</v>
      </c>
      <c r="D34" s="11" t="s">
        <v>98</v>
      </c>
    </row>
    <row r="35" spans="1:5" x14ac:dyDescent="0.25">
      <c r="A35" s="11" t="s">
        <v>325</v>
      </c>
      <c r="B35" s="11">
        <v>3.964</v>
      </c>
      <c r="C35" s="11" t="s">
        <v>65</v>
      </c>
      <c r="D35" s="11"/>
    </row>
    <row r="36" spans="1:5" x14ac:dyDescent="0.25">
      <c r="A36" s="57"/>
      <c r="B36" s="58"/>
      <c r="C36" s="58"/>
      <c r="D36" s="58"/>
    </row>
    <row r="37" spans="1:5" x14ac:dyDescent="0.25">
      <c r="A37" s="16" t="s">
        <v>100</v>
      </c>
      <c r="B37" s="16" t="s">
        <v>0</v>
      </c>
      <c r="C37" s="16" t="s">
        <v>1</v>
      </c>
      <c r="D37" s="16" t="s">
        <v>50</v>
      </c>
    </row>
    <row r="38" spans="1:5" x14ac:dyDescent="0.25">
      <c r="A38" s="11" t="s">
        <v>105</v>
      </c>
      <c r="B38" s="11">
        <v>21.2</v>
      </c>
      <c r="C38" s="11" t="s">
        <v>169</v>
      </c>
      <c r="D38" s="11" t="s">
        <v>196</v>
      </c>
    </row>
    <row r="39" spans="1:5" x14ac:dyDescent="0.25">
      <c r="A39" s="11" t="s">
        <v>106</v>
      </c>
      <c r="B39" s="11">
        <v>1.08</v>
      </c>
      <c r="C39" s="11" t="s">
        <v>169</v>
      </c>
      <c r="D39" s="11" t="s">
        <v>196</v>
      </c>
    </row>
    <row r="40" spans="1:5" x14ac:dyDescent="0.25">
      <c r="A40" s="11" t="s">
        <v>329</v>
      </c>
      <c r="B40" s="11">
        <v>8.5199999999999998E-2</v>
      </c>
      <c r="C40" s="11" t="s">
        <v>107</v>
      </c>
      <c r="D40" s="11" t="s">
        <v>196</v>
      </c>
    </row>
    <row r="41" spans="1:5" x14ac:dyDescent="0.25">
      <c r="A41" s="11" t="s">
        <v>170</v>
      </c>
      <c r="B41" s="11">
        <v>4.36E-2</v>
      </c>
      <c r="C41" s="11" t="s">
        <v>107</v>
      </c>
      <c r="D41" s="11" t="s">
        <v>196</v>
      </c>
    </row>
    <row r="42" spans="1:5" x14ac:dyDescent="0.25">
      <c r="A42" s="11" t="s">
        <v>103</v>
      </c>
      <c r="B42" s="11">
        <v>50</v>
      </c>
      <c r="C42" s="11" t="s">
        <v>34</v>
      </c>
      <c r="D42" s="11" t="s">
        <v>196</v>
      </c>
    </row>
    <row r="43" spans="1:5" x14ac:dyDescent="0.25">
      <c r="A43" s="11" t="s">
        <v>125</v>
      </c>
      <c r="B43" s="11">
        <v>70</v>
      </c>
      <c r="C43" s="11" t="s">
        <v>126</v>
      </c>
      <c r="D43" s="11" t="s">
        <v>196</v>
      </c>
    </row>
    <row r="44" spans="1:5" x14ac:dyDescent="0.25">
      <c r="A44" s="11" t="s">
        <v>297</v>
      </c>
      <c r="B44" s="11">
        <v>25</v>
      </c>
      <c r="C44" s="11" t="s">
        <v>34</v>
      </c>
      <c r="D44" s="11" t="s">
        <v>298</v>
      </c>
    </row>
    <row r="45" spans="1:5" x14ac:dyDescent="0.25">
      <c r="A45" s="11" t="s">
        <v>104</v>
      </c>
      <c r="B45" s="11">
        <v>4.18</v>
      </c>
      <c r="C45" s="11" t="s">
        <v>65</v>
      </c>
      <c r="D45" s="11"/>
    </row>
    <row r="46" spans="1:5" x14ac:dyDescent="0.25">
      <c r="A46" s="40" t="s">
        <v>355</v>
      </c>
      <c r="B46" s="40">
        <v>74.2</v>
      </c>
      <c r="C46" s="40" t="s">
        <v>356</v>
      </c>
      <c r="D46" s="40" t="s">
        <v>196</v>
      </c>
    </row>
    <row r="47" spans="1:5" x14ac:dyDescent="0.25">
      <c r="A47" s="40"/>
      <c r="B47" s="40"/>
      <c r="C47" s="40"/>
      <c r="D47" s="40"/>
    </row>
    <row r="48" spans="1:5" x14ac:dyDescent="0.25">
      <c r="A48" s="16" t="s">
        <v>113</v>
      </c>
      <c r="B48" s="16" t="s">
        <v>0</v>
      </c>
      <c r="C48" s="16" t="s">
        <v>1</v>
      </c>
      <c r="D48" s="16" t="s">
        <v>50</v>
      </c>
      <c r="E48" s="44"/>
    </row>
    <row r="49" spans="1:5" x14ac:dyDescent="0.25">
      <c r="A49" s="11" t="s">
        <v>114</v>
      </c>
      <c r="B49" s="11">
        <v>30.43</v>
      </c>
      <c r="C49" s="11" t="s">
        <v>117</v>
      </c>
      <c r="D49" s="11" t="s">
        <v>196</v>
      </c>
      <c r="E49" s="44"/>
    </row>
    <row r="50" spans="1:5" x14ac:dyDescent="0.25">
      <c r="A50" s="11" t="s">
        <v>115</v>
      </c>
      <c r="B50" s="11">
        <v>19.04</v>
      </c>
      <c r="C50" s="11" t="s">
        <v>117</v>
      </c>
      <c r="D50" s="11" t="s">
        <v>196</v>
      </c>
      <c r="E50" s="44"/>
    </row>
    <row r="51" spans="1:5" x14ac:dyDescent="0.25">
      <c r="A51" s="11" t="s">
        <v>116</v>
      </c>
      <c r="B51" s="66">
        <v>4.4800000000000004</v>
      </c>
      <c r="C51" s="11" t="s">
        <v>117</v>
      </c>
      <c r="D51" s="11" t="s">
        <v>196</v>
      </c>
      <c r="E51" s="44"/>
    </row>
    <row r="52" spans="1:5" x14ac:dyDescent="0.25">
      <c r="A52" s="44"/>
      <c r="B52" s="44"/>
      <c r="C52" s="44"/>
      <c r="D52" s="44"/>
      <c r="E52" s="44"/>
    </row>
    <row r="53" spans="1:5" x14ac:dyDescent="0.25">
      <c r="A53" s="16" t="s">
        <v>141</v>
      </c>
      <c r="B53" s="16" t="s">
        <v>0</v>
      </c>
      <c r="C53" s="16" t="s">
        <v>1</v>
      </c>
      <c r="D53" s="16" t="s">
        <v>50</v>
      </c>
      <c r="E53" s="44"/>
    </row>
    <row r="54" spans="1:5" x14ac:dyDescent="0.25">
      <c r="A54" s="11" t="s">
        <v>351</v>
      </c>
      <c r="B54" s="11">
        <v>35.799999999999997</v>
      </c>
      <c r="C54" s="11" t="s">
        <v>46</v>
      </c>
      <c r="D54" s="23" t="s">
        <v>340</v>
      </c>
      <c r="E54" s="44"/>
    </row>
    <row r="55" spans="1:5" x14ac:dyDescent="0.25">
      <c r="A55" s="11" t="s">
        <v>352</v>
      </c>
      <c r="B55" s="11">
        <v>80</v>
      </c>
      <c r="C55" s="11" t="s">
        <v>142</v>
      </c>
      <c r="D55" s="11" t="s">
        <v>143</v>
      </c>
      <c r="E55" s="44"/>
    </row>
    <row r="56" spans="1:5" x14ac:dyDescent="0.25">
      <c r="A56" s="44"/>
      <c r="B56" s="44" t="s">
        <v>294</v>
      </c>
      <c r="C56" s="44"/>
      <c r="D56" s="44"/>
    </row>
    <row r="57" spans="1:5" x14ac:dyDescent="0.25">
      <c r="A57" s="59" t="s">
        <v>127</v>
      </c>
      <c r="B57" s="59" t="s">
        <v>5</v>
      </c>
      <c r="C57" s="59" t="s">
        <v>2</v>
      </c>
      <c r="D57" s="14" t="s">
        <v>50</v>
      </c>
    </row>
    <row r="58" spans="1:5" x14ac:dyDescent="0.25">
      <c r="A58" s="60" t="s">
        <v>12</v>
      </c>
      <c r="B58" s="61">
        <v>0.35</v>
      </c>
      <c r="C58" s="62"/>
      <c r="D58" s="23" t="s">
        <v>306</v>
      </c>
    </row>
    <row r="59" spans="1:5" x14ac:dyDescent="0.25">
      <c r="A59" s="60" t="s">
        <v>132</v>
      </c>
      <c r="B59" s="61">
        <v>1.65</v>
      </c>
      <c r="C59" s="62" t="s">
        <v>14</v>
      </c>
      <c r="D59" s="23" t="s">
        <v>306</v>
      </c>
    </row>
    <row r="60" spans="1:5" x14ac:dyDescent="0.25">
      <c r="A60" s="60" t="s">
        <v>16</v>
      </c>
      <c r="B60" s="61">
        <v>1000</v>
      </c>
      <c r="C60" s="62" t="s">
        <v>17</v>
      </c>
      <c r="D60" s="23" t="s">
        <v>306</v>
      </c>
    </row>
    <row r="61" spans="1:5" x14ac:dyDescent="0.25">
      <c r="A61" s="60" t="s">
        <v>128</v>
      </c>
      <c r="B61" s="61">
        <f>1.5</f>
        <v>1.5</v>
      </c>
      <c r="C61" s="62" t="s">
        <v>20</v>
      </c>
      <c r="D61" s="23" t="s">
        <v>306</v>
      </c>
    </row>
    <row r="62" spans="1:5" x14ac:dyDescent="0.25">
      <c r="A62" s="60" t="s">
        <v>293</v>
      </c>
      <c r="B62" s="61">
        <v>0.7</v>
      </c>
      <c r="C62" s="62"/>
      <c r="D62" s="23" t="s">
        <v>290</v>
      </c>
    </row>
    <row r="63" spans="1:5" x14ac:dyDescent="0.25">
      <c r="A63" s="60" t="s">
        <v>131</v>
      </c>
      <c r="B63" s="61">
        <v>2.8200000000000002E-4</v>
      </c>
      <c r="C63" s="60" t="s">
        <v>129</v>
      </c>
      <c r="D63" s="23" t="s">
        <v>130</v>
      </c>
    </row>
    <row r="64" spans="1:5" x14ac:dyDescent="0.25">
      <c r="A64" s="60" t="s">
        <v>131</v>
      </c>
      <c r="B64" s="61">
        <v>5.4699999999999996E-4</v>
      </c>
      <c r="C64" s="60" t="s">
        <v>129</v>
      </c>
      <c r="D64" s="23" t="s">
        <v>133</v>
      </c>
    </row>
    <row r="65" spans="1:62" x14ac:dyDescent="0.25">
      <c r="A65" s="69" t="s">
        <v>24</v>
      </c>
      <c r="B65" s="63"/>
      <c r="C65" s="64"/>
      <c r="D65" s="65"/>
    </row>
    <row r="66" spans="1:62" s="56" customFormat="1" x14ac:dyDescent="0.25">
      <c r="A66" s="66" t="s">
        <v>26</v>
      </c>
      <c r="B66" s="67">
        <f>B58*B60*B61^3*B59^5/1000</f>
        <v>14.446463431640622</v>
      </c>
      <c r="C66" s="68" t="s">
        <v>312</v>
      </c>
      <c r="D66" s="66" t="s">
        <v>306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</row>
    <row r="67" spans="1:62" s="56" customFormat="1" x14ac:dyDescent="0.25">
      <c r="A67" s="66" t="s">
        <v>134</v>
      </c>
      <c r="B67" s="67">
        <f>B66/20000*B33*3600</f>
        <v>2.6003634176953119</v>
      </c>
      <c r="C67" s="66" t="s">
        <v>136</v>
      </c>
      <c r="D67" s="66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</row>
    <row r="68" spans="1:62" s="56" customFormat="1" x14ac:dyDescent="0.25">
      <c r="A68" s="66" t="s">
        <v>135</v>
      </c>
      <c r="B68" s="67">
        <f>B66/20000*B43*3600</f>
        <v>182.02543923867185</v>
      </c>
      <c r="C68" s="66" t="s">
        <v>136</v>
      </c>
      <c r="D68" s="66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</row>
    <row r="69" spans="1:62" s="56" customFormat="1" x14ac:dyDescent="0.25">
      <c r="A69" s="66" t="s">
        <v>137</v>
      </c>
      <c r="B69" s="67">
        <f>1/0.1*B35*(B32-B31)</f>
        <v>4558.6000000000004</v>
      </c>
      <c r="C69" s="66" t="s">
        <v>136</v>
      </c>
      <c r="D69" s="66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</row>
    <row r="70" spans="1:62" s="56" customFormat="1" x14ac:dyDescent="0.25">
      <c r="A70" s="66" t="s">
        <v>138</v>
      </c>
      <c r="B70" s="67">
        <f>1/0.1*B35*(B32-B42)</f>
        <v>3171.2</v>
      </c>
      <c r="C70" s="66" t="s">
        <v>136</v>
      </c>
      <c r="D70" s="66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</row>
    <row r="71" spans="1:62" s="56" customFormat="1" x14ac:dyDescent="0.25">
      <c r="A71" s="66" t="s">
        <v>299</v>
      </c>
      <c r="B71" s="67">
        <f>1/0.1*B45*(B42-B44)</f>
        <v>1045</v>
      </c>
      <c r="C71" s="66" t="s">
        <v>136</v>
      </c>
      <c r="D71" s="66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</row>
    <row r="72" spans="1:62" x14ac:dyDescent="0.25">
      <c r="A72" s="69" t="s">
        <v>27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</row>
    <row r="73" spans="1:62" x14ac:dyDescent="0.25">
      <c r="A73" s="26" t="s">
        <v>362</v>
      </c>
    </row>
    <row r="74" spans="1:62" x14ac:dyDescent="0.25">
      <c r="A74" s="26" t="s">
        <v>324</v>
      </c>
    </row>
    <row r="76" spans="1:62" x14ac:dyDescent="0.25">
      <c r="A76" s="59" t="s">
        <v>344</v>
      </c>
      <c r="B76" s="59" t="s">
        <v>5</v>
      </c>
      <c r="C76" s="59" t="s">
        <v>2</v>
      </c>
      <c r="D76" s="14" t="s">
        <v>50</v>
      </c>
    </row>
    <row r="77" spans="1:62" x14ac:dyDescent="0.25">
      <c r="A77" s="60" t="s">
        <v>343</v>
      </c>
      <c r="B77" s="61">
        <v>168</v>
      </c>
      <c r="C77" s="62" t="s">
        <v>339</v>
      </c>
      <c r="D77" s="23" t="s">
        <v>340</v>
      </c>
    </row>
    <row r="78" spans="1:62" x14ac:dyDescent="0.25">
      <c r="A78" s="60" t="s">
        <v>346</v>
      </c>
      <c r="B78" s="61">
        <v>2</v>
      </c>
      <c r="C78" s="62" t="s">
        <v>1</v>
      </c>
      <c r="D78" s="23"/>
    </row>
    <row r="79" spans="1:62" x14ac:dyDescent="0.25">
      <c r="A79" s="60" t="s">
        <v>342</v>
      </c>
      <c r="B79" s="61">
        <v>20</v>
      </c>
      <c r="C79" s="62" t="s">
        <v>348</v>
      </c>
      <c r="D79" s="23" t="s">
        <v>340</v>
      </c>
    </row>
    <row r="80" spans="1:62" x14ac:dyDescent="0.25">
      <c r="A80" s="60" t="s">
        <v>341</v>
      </c>
      <c r="B80" s="61">
        <v>289</v>
      </c>
      <c r="C80" s="62" t="s">
        <v>345</v>
      </c>
      <c r="D80" s="23" t="s">
        <v>340</v>
      </c>
    </row>
    <row r="81" spans="1:62" x14ac:dyDescent="0.25">
      <c r="A81" s="97" t="s">
        <v>357</v>
      </c>
      <c r="B81" s="98">
        <v>99</v>
      </c>
      <c r="C81" s="99" t="s">
        <v>25</v>
      </c>
      <c r="D81" s="23" t="s">
        <v>340</v>
      </c>
    </row>
    <row r="82" spans="1:62" x14ac:dyDescent="0.25">
      <c r="A82" s="69" t="s">
        <v>24</v>
      </c>
      <c r="B82" s="63"/>
      <c r="C82" s="64"/>
      <c r="D82" s="65"/>
    </row>
    <row r="83" spans="1:62" s="56" customFormat="1" x14ac:dyDescent="0.25">
      <c r="A83" s="66" t="s">
        <v>347</v>
      </c>
      <c r="B83" s="67">
        <f>B80/(B77*B79)*3600</f>
        <v>309.64285714285717</v>
      </c>
      <c r="C83" s="68" t="s">
        <v>349</v>
      </c>
      <c r="D83" s="66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pane ySplit="1" topLeftCell="A2" activePane="bottomLeft" state="frozenSplit"/>
      <selection pane="bottomLeft" activeCell="B18" sqref="B18"/>
    </sheetView>
  </sheetViews>
  <sheetFormatPr defaultColWidth="9.109375" defaultRowHeight="13.8" x14ac:dyDescent="0.25"/>
  <cols>
    <col min="1" max="1" width="42.33203125" style="13" customWidth="1"/>
    <col min="2" max="2" width="17.109375" style="13" customWidth="1"/>
    <col min="3" max="3" width="26.109375" style="13" customWidth="1"/>
    <col min="4" max="4" width="20.33203125" style="13" customWidth="1"/>
    <col min="5" max="6" width="9.109375" style="13"/>
    <col min="7" max="7" width="39.33203125" style="13" customWidth="1"/>
    <col min="8" max="8" width="21.33203125" style="13" customWidth="1"/>
    <col min="9" max="9" width="17" style="13" customWidth="1"/>
    <col min="10" max="16384" width="9.109375" style="13"/>
  </cols>
  <sheetData>
    <row r="1" spans="1:10" s="42" customFormat="1" ht="17.399999999999999" x14ac:dyDescent="0.3">
      <c r="A1" s="41" t="s">
        <v>147</v>
      </c>
    </row>
    <row r="2" spans="1:10" x14ac:dyDescent="0.25">
      <c r="D2" s="19"/>
    </row>
    <row r="3" spans="1:10" x14ac:dyDescent="0.25">
      <c r="A3" s="18" t="s">
        <v>83</v>
      </c>
      <c r="B3" s="12"/>
      <c r="C3" s="12"/>
      <c r="D3" s="20"/>
      <c r="G3" s="18" t="s">
        <v>145</v>
      </c>
      <c r="H3" s="12"/>
      <c r="I3" s="12"/>
      <c r="J3" s="20"/>
    </row>
    <row r="4" spans="1:10" x14ac:dyDescent="0.25">
      <c r="A4" s="48" t="s">
        <v>28</v>
      </c>
      <c r="B4" s="48" t="s">
        <v>0</v>
      </c>
      <c r="C4" s="48" t="s">
        <v>1</v>
      </c>
      <c r="D4" s="19"/>
      <c r="G4" s="48" t="s">
        <v>28</v>
      </c>
      <c r="H4" s="48" t="s">
        <v>0</v>
      </c>
      <c r="I4" s="48" t="s">
        <v>1</v>
      </c>
      <c r="J4" s="19"/>
    </row>
    <row r="5" spans="1:10" x14ac:dyDescent="0.25">
      <c r="A5" s="11" t="s">
        <v>151</v>
      </c>
      <c r="B5" s="31">
        <f>'Pretreatment&amp;Hydrolysis'!B11</f>
        <v>329365603.24810612</v>
      </c>
      <c r="C5" s="11" t="s">
        <v>6</v>
      </c>
      <c r="D5" s="19"/>
      <c r="G5" s="11" t="s">
        <v>152</v>
      </c>
      <c r="H5" s="32">
        <f>B5/MassFlow!B5</f>
        <v>9.799631158824937</v>
      </c>
      <c r="I5" s="11" t="s">
        <v>36</v>
      </c>
      <c r="J5" s="19"/>
    </row>
    <row r="6" spans="1:10" x14ac:dyDescent="0.25">
      <c r="A6" s="48" t="s">
        <v>35</v>
      </c>
      <c r="B6" s="48" t="s">
        <v>0</v>
      </c>
      <c r="C6" s="48" t="s">
        <v>1</v>
      </c>
      <c r="D6" s="19"/>
      <c r="G6" s="48" t="s">
        <v>35</v>
      </c>
      <c r="H6" s="48" t="s">
        <v>0</v>
      </c>
      <c r="I6" s="48" t="s">
        <v>1</v>
      </c>
      <c r="J6" s="19"/>
    </row>
    <row r="7" spans="1:10" x14ac:dyDescent="0.25">
      <c r="A7" s="23" t="s">
        <v>164</v>
      </c>
      <c r="B7" s="31">
        <f>B5*B36/100</f>
        <v>117912885.96282198</v>
      </c>
      <c r="C7" s="11" t="s">
        <v>6</v>
      </c>
      <c r="D7" s="19"/>
      <c r="G7" s="23" t="s">
        <v>164</v>
      </c>
      <c r="H7" s="32">
        <f>B7/MassFlow!B5</f>
        <v>3.5082679548593267</v>
      </c>
      <c r="I7" s="11" t="s">
        <v>36</v>
      </c>
      <c r="J7" s="19"/>
    </row>
    <row r="8" spans="1:10" x14ac:dyDescent="0.25">
      <c r="A8" s="44"/>
      <c r="B8" s="43"/>
      <c r="C8" s="44"/>
      <c r="D8" s="19"/>
      <c r="G8" s="44"/>
      <c r="H8" s="43"/>
      <c r="I8" s="44"/>
      <c r="J8" s="19"/>
    </row>
    <row r="9" spans="1:10" x14ac:dyDescent="0.25">
      <c r="D9" s="19"/>
      <c r="J9" s="19"/>
    </row>
    <row r="10" spans="1:10" x14ac:dyDescent="0.25">
      <c r="A10" s="18" t="s">
        <v>84</v>
      </c>
      <c r="B10" s="12"/>
      <c r="C10" s="12"/>
      <c r="D10" s="20"/>
      <c r="G10" s="18" t="s">
        <v>146</v>
      </c>
      <c r="H10" s="12"/>
      <c r="I10" s="12"/>
      <c r="J10" s="20"/>
    </row>
    <row r="11" spans="1:10" x14ac:dyDescent="0.25">
      <c r="A11" s="49" t="s">
        <v>29</v>
      </c>
      <c r="B11" s="48" t="s">
        <v>0</v>
      </c>
      <c r="C11" s="48" t="s">
        <v>1</v>
      </c>
      <c r="D11" s="19"/>
      <c r="G11" s="49" t="s">
        <v>29</v>
      </c>
      <c r="H11" s="48" t="s">
        <v>0</v>
      </c>
      <c r="I11" s="48" t="s">
        <v>1</v>
      </c>
      <c r="J11" s="19"/>
    </row>
    <row r="12" spans="1:10" x14ac:dyDescent="0.25">
      <c r="A12" s="11" t="s">
        <v>153</v>
      </c>
      <c r="B12" s="24">
        <f>(B5*(B28-B29)/100*(B25*(B24-B23)+B27)+B7*B26*(B24-B23))/1000</f>
        <v>516121170.13943434</v>
      </c>
      <c r="C12" s="23" t="s">
        <v>31</v>
      </c>
      <c r="G12" s="11" t="s">
        <v>153</v>
      </c>
      <c r="H12" s="32">
        <f>B12/MassFlow!B5</f>
        <v>15.356178819977218</v>
      </c>
      <c r="I12" s="23" t="s">
        <v>10</v>
      </c>
    </row>
    <row r="13" spans="1:10" x14ac:dyDescent="0.25">
      <c r="A13" s="11" t="s">
        <v>154</v>
      </c>
      <c r="B13" s="24">
        <f>B12*B32/100</f>
        <v>10322423.402788687</v>
      </c>
      <c r="C13" s="23" t="s">
        <v>31</v>
      </c>
      <c r="G13" s="11" t="s">
        <v>154</v>
      </c>
      <c r="H13" s="32">
        <f>B13/MassFlow!B5</f>
        <v>0.30712357639954441</v>
      </c>
      <c r="I13" s="23" t="s">
        <v>10</v>
      </c>
    </row>
    <row r="14" spans="1:10" x14ac:dyDescent="0.25">
      <c r="A14" s="23" t="s">
        <v>122</v>
      </c>
      <c r="B14" s="24">
        <f>B12</f>
        <v>516121170.13943434</v>
      </c>
      <c r="C14" s="23" t="s">
        <v>31</v>
      </c>
      <c r="G14" s="23" t="s">
        <v>122</v>
      </c>
      <c r="H14" s="70">
        <f>H12</f>
        <v>15.356178819977218</v>
      </c>
      <c r="I14" s="23" t="s">
        <v>10</v>
      </c>
    </row>
    <row r="15" spans="1:10" x14ac:dyDescent="0.25">
      <c r="A15" s="50" t="s">
        <v>123</v>
      </c>
      <c r="B15" s="51">
        <f>B13</f>
        <v>10322423.402788687</v>
      </c>
      <c r="C15" s="50" t="s">
        <v>31</v>
      </c>
      <c r="G15" s="50" t="s">
        <v>123</v>
      </c>
      <c r="H15" s="71">
        <f>H13</f>
        <v>0.30712357639954441</v>
      </c>
      <c r="I15" s="50" t="s">
        <v>10</v>
      </c>
    </row>
    <row r="16" spans="1:10" x14ac:dyDescent="0.25">
      <c r="A16" s="52" t="s">
        <v>124</v>
      </c>
      <c r="B16" s="53">
        <f>B14+B15</f>
        <v>526443593.54222304</v>
      </c>
      <c r="C16" s="52" t="s">
        <v>31</v>
      </c>
      <c r="G16" s="52" t="s">
        <v>124</v>
      </c>
      <c r="H16" s="72">
        <f>SUM(H14:H15)</f>
        <v>15.663302396376762</v>
      </c>
      <c r="I16" s="52" t="s">
        <v>10</v>
      </c>
    </row>
    <row r="17" spans="1:10" x14ac:dyDescent="0.25">
      <c r="A17" s="49" t="s">
        <v>288</v>
      </c>
      <c r="B17" s="48" t="s">
        <v>0</v>
      </c>
      <c r="C17" s="48" t="s">
        <v>1</v>
      </c>
      <c r="D17" s="19"/>
      <c r="G17" s="49" t="s">
        <v>288</v>
      </c>
      <c r="H17" s="48" t="s">
        <v>0</v>
      </c>
      <c r="I17" s="48" t="s">
        <v>1</v>
      </c>
      <c r="J17" s="19"/>
    </row>
    <row r="18" spans="1:10" x14ac:dyDescent="0.25">
      <c r="A18" s="11" t="s">
        <v>277</v>
      </c>
      <c r="B18" s="53">
        <f>B31*B7*B30/1000</f>
        <v>2301659533.9942846</v>
      </c>
      <c r="C18" s="23" t="s">
        <v>31</v>
      </c>
      <c r="G18" s="11" t="s">
        <v>278</v>
      </c>
      <c r="H18" s="81">
        <f>B18/MassFlow!B5</f>
        <v>68.481390478854053</v>
      </c>
      <c r="I18" s="23" t="s">
        <v>10</v>
      </c>
    </row>
    <row r="19" spans="1:10" x14ac:dyDescent="0.25">
      <c r="A19" s="44"/>
      <c r="B19" s="79"/>
      <c r="C19" s="26"/>
      <c r="G19" s="44"/>
      <c r="H19" s="80"/>
      <c r="I19" s="26"/>
    </row>
    <row r="21" spans="1:10" x14ac:dyDescent="0.25">
      <c r="A21" s="33" t="s">
        <v>68</v>
      </c>
      <c r="B21" s="34"/>
      <c r="C21" s="34"/>
      <c r="D21" s="34"/>
    </row>
    <row r="22" spans="1:10" x14ac:dyDescent="0.25">
      <c r="A22" s="14" t="s">
        <v>148</v>
      </c>
      <c r="B22" s="14" t="s">
        <v>0</v>
      </c>
      <c r="C22" s="14" t="s">
        <v>1</v>
      </c>
      <c r="D22" s="14" t="s">
        <v>50</v>
      </c>
    </row>
    <row r="23" spans="1:10" x14ac:dyDescent="0.25">
      <c r="A23" s="11" t="s">
        <v>149</v>
      </c>
      <c r="B23" s="11">
        <v>50</v>
      </c>
      <c r="C23" s="11" t="s">
        <v>34</v>
      </c>
      <c r="D23" s="11" t="s">
        <v>150</v>
      </c>
    </row>
    <row r="24" spans="1:10" x14ac:dyDescent="0.25">
      <c r="A24" s="11" t="s">
        <v>155</v>
      </c>
      <c r="B24" s="11">
        <v>75</v>
      </c>
      <c r="C24" s="11" t="s">
        <v>34</v>
      </c>
      <c r="D24" s="11" t="s">
        <v>150</v>
      </c>
    </row>
    <row r="25" spans="1:10" x14ac:dyDescent="0.25">
      <c r="A25" s="11" t="s">
        <v>163</v>
      </c>
      <c r="B25" s="11">
        <v>4.18</v>
      </c>
      <c r="C25" s="11" t="s">
        <v>65</v>
      </c>
      <c r="D25" s="11"/>
    </row>
    <row r="26" spans="1:10" x14ac:dyDescent="0.25">
      <c r="A26" s="11" t="s">
        <v>168</v>
      </c>
      <c r="B26" s="11">
        <v>1.1000000000000001</v>
      </c>
      <c r="C26" s="11" t="s">
        <v>65</v>
      </c>
      <c r="D26" s="11"/>
    </row>
    <row r="27" spans="1:10" x14ac:dyDescent="0.25">
      <c r="A27" s="11" t="s">
        <v>156</v>
      </c>
      <c r="B27" s="11">
        <v>2321</v>
      </c>
      <c r="C27" s="11" t="s">
        <v>157</v>
      </c>
      <c r="D27" s="11" t="s">
        <v>158</v>
      </c>
    </row>
    <row r="28" spans="1:10" x14ac:dyDescent="0.25">
      <c r="A28" s="11" t="s">
        <v>159</v>
      </c>
      <c r="B28" s="11">
        <f>100-'Pretreatment&amp;Hydrolysis'!B54</f>
        <v>64.2</v>
      </c>
      <c r="C28" s="11" t="s">
        <v>46</v>
      </c>
      <c r="D28" s="11"/>
    </row>
    <row r="29" spans="1:10" x14ac:dyDescent="0.25">
      <c r="A29" s="11" t="s">
        <v>165</v>
      </c>
      <c r="B29" s="11">
        <v>0</v>
      </c>
      <c r="C29" s="11" t="s">
        <v>46</v>
      </c>
      <c r="D29" s="11"/>
    </row>
    <row r="30" spans="1:10" x14ac:dyDescent="0.25">
      <c r="A30" s="11" t="s">
        <v>166</v>
      </c>
      <c r="B30" s="11">
        <v>0.8</v>
      </c>
      <c r="C30" s="11" t="s">
        <v>167</v>
      </c>
      <c r="D30" s="11"/>
    </row>
    <row r="31" spans="1:10" x14ac:dyDescent="0.25">
      <c r="A31" s="11" t="s">
        <v>279</v>
      </c>
      <c r="B31" s="11">
        <v>24400</v>
      </c>
      <c r="C31" s="11" t="s">
        <v>280</v>
      </c>
      <c r="D31" s="11" t="s">
        <v>295</v>
      </c>
    </row>
    <row r="32" spans="1:10" x14ac:dyDescent="0.25">
      <c r="A32" s="11" t="s">
        <v>160</v>
      </c>
      <c r="B32" s="11">
        <v>2</v>
      </c>
      <c r="C32" s="11" t="s">
        <v>161</v>
      </c>
      <c r="D32" s="11" t="s">
        <v>162</v>
      </c>
    </row>
    <row r="35" spans="1:4" x14ac:dyDescent="0.25">
      <c r="A35" s="16" t="s">
        <v>141</v>
      </c>
      <c r="B35" s="16" t="s">
        <v>0</v>
      </c>
      <c r="C35" s="16" t="s">
        <v>1</v>
      </c>
      <c r="D35" s="16" t="s">
        <v>50</v>
      </c>
    </row>
    <row r="36" spans="1:4" x14ac:dyDescent="0.25">
      <c r="A36" s="11" t="s">
        <v>353</v>
      </c>
      <c r="B36" s="11">
        <v>35.799999999999997</v>
      </c>
      <c r="C36" s="11" t="s">
        <v>338</v>
      </c>
      <c r="D36" s="11" t="s">
        <v>337</v>
      </c>
    </row>
    <row r="37" spans="1:4" x14ac:dyDescent="0.25">
      <c r="A37" s="11" t="s">
        <v>40</v>
      </c>
      <c r="B37" s="11">
        <v>80</v>
      </c>
      <c r="C37" s="11" t="s">
        <v>142</v>
      </c>
      <c r="D37" s="11" t="s">
        <v>143</v>
      </c>
    </row>
    <row r="38" spans="1:4" x14ac:dyDescent="0.25">
      <c r="A38" s="11" t="s">
        <v>354</v>
      </c>
      <c r="B38" s="66">
        <v>0.13</v>
      </c>
      <c r="C38" s="11" t="s">
        <v>336</v>
      </c>
      <c r="D38" s="11" t="s">
        <v>332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74"/>
  <sheetViews>
    <sheetView topLeftCell="E1" zoomScaleNormal="100" workbookViewId="0">
      <pane ySplit="1" topLeftCell="A2" activePane="bottomLeft" state="frozenSplit"/>
      <selection pane="bottomLeft" activeCell="H28" sqref="H28"/>
    </sheetView>
  </sheetViews>
  <sheetFormatPr defaultColWidth="9.109375" defaultRowHeight="13.8" x14ac:dyDescent="0.25"/>
  <cols>
    <col min="1" max="1" width="39.109375" style="13" customWidth="1"/>
    <col min="2" max="2" width="17.109375" style="13" customWidth="1"/>
    <col min="3" max="3" width="32.6640625" style="13" customWidth="1"/>
    <col min="4" max="4" width="20.33203125" style="13" customWidth="1"/>
    <col min="5" max="6" width="9.109375" style="13"/>
    <col min="7" max="7" width="39.33203125" style="13" customWidth="1"/>
    <col min="8" max="8" width="21.33203125" style="13" customWidth="1"/>
    <col min="9" max="9" width="17" style="13" customWidth="1"/>
    <col min="10" max="16384" width="9.109375" style="13"/>
  </cols>
  <sheetData>
    <row r="1" spans="1:10" s="42" customFormat="1" ht="17.399999999999999" x14ac:dyDescent="0.3">
      <c r="A1" s="41" t="s">
        <v>171</v>
      </c>
    </row>
    <row r="2" spans="1:10" x14ac:dyDescent="0.25">
      <c r="D2" s="19"/>
    </row>
    <row r="3" spans="1:10" x14ac:dyDescent="0.25">
      <c r="A3" s="18" t="s">
        <v>83</v>
      </c>
      <c r="B3" s="12"/>
      <c r="C3" s="12"/>
      <c r="D3" s="20"/>
      <c r="G3" s="18" t="s">
        <v>145</v>
      </c>
      <c r="H3" s="12"/>
      <c r="I3" s="12"/>
      <c r="J3" s="20"/>
    </row>
    <row r="4" spans="1:10" x14ac:dyDescent="0.25">
      <c r="A4" s="48" t="s">
        <v>28</v>
      </c>
      <c r="B4" s="48" t="s">
        <v>0</v>
      </c>
      <c r="C4" s="48" t="s">
        <v>1</v>
      </c>
      <c r="D4" s="19"/>
      <c r="G4" s="48" t="s">
        <v>28</v>
      </c>
      <c r="H4" s="48" t="s">
        <v>0</v>
      </c>
      <c r="I4" s="48" t="s">
        <v>1</v>
      </c>
      <c r="J4" s="19"/>
    </row>
    <row r="5" spans="1:10" x14ac:dyDescent="0.25">
      <c r="A5" s="11" t="s">
        <v>118</v>
      </c>
      <c r="B5" s="31">
        <f>B8*B35/100/B36</f>
        <v>4738318123.7019939</v>
      </c>
      <c r="C5" s="11" t="s">
        <v>6</v>
      </c>
      <c r="D5" s="19"/>
      <c r="G5" s="11" t="s">
        <v>118</v>
      </c>
      <c r="H5" s="32">
        <f>B5/MassFlow!B5</f>
        <v>140.97941457012774</v>
      </c>
      <c r="I5" s="11" t="s">
        <v>36</v>
      </c>
      <c r="J5" s="19"/>
    </row>
    <row r="6" spans="1:10" x14ac:dyDescent="0.25">
      <c r="A6" s="11" t="s">
        <v>284</v>
      </c>
      <c r="B6" s="31">
        <f>B5/1000*B29*60*B25/22.4*28.97/1000</f>
        <v>35297762.411223456</v>
      </c>
      <c r="C6" s="11" t="s">
        <v>6</v>
      </c>
      <c r="D6" s="19"/>
      <c r="G6" s="11" t="s">
        <v>284</v>
      </c>
      <c r="H6" s="32">
        <f>B6/MassFlow!B5</f>
        <v>1.0502160788819832</v>
      </c>
      <c r="I6" s="11" t="s">
        <v>36</v>
      </c>
      <c r="J6" s="19"/>
    </row>
    <row r="7" spans="1:10" x14ac:dyDescent="0.25">
      <c r="A7" s="48" t="s">
        <v>35</v>
      </c>
      <c r="B7" s="48" t="s">
        <v>0</v>
      </c>
      <c r="C7" s="48" t="s">
        <v>1</v>
      </c>
      <c r="D7" s="19"/>
      <c r="G7" s="48" t="s">
        <v>35</v>
      </c>
      <c r="H7" s="48" t="s">
        <v>0</v>
      </c>
      <c r="I7" s="48" t="s">
        <v>1</v>
      </c>
      <c r="J7" s="19"/>
    </row>
    <row r="8" spans="1:10" x14ac:dyDescent="0.25">
      <c r="A8" s="11" t="s">
        <v>187</v>
      </c>
      <c r="B8" s="31">
        <f>FungalBiomassDrying!B5</f>
        <v>471671649.83164984</v>
      </c>
      <c r="C8" s="11" t="s">
        <v>6</v>
      </c>
      <c r="D8" s="19"/>
      <c r="G8" s="11" t="s">
        <v>187</v>
      </c>
      <c r="H8" s="32">
        <f>B8/MassFlow!B5</f>
        <v>14.033670033670035</v>
      </c>
      <c r="I8" s="11" t="s">
        <v>36</v>
      </c>
      <c r="J8" s="19"/>
    </row>
    <row r="9" spans="1:10" x14ac:dyDescent="0.25">
      <c r="A9" s="23" t="s">
        <v>190</v>
      </c>
      <c r="B9" s="31">
        <f>B5-B8</f>
        <v>4266646473.8703442</v>
      </c>
      <c r="C9" s="11" t="s">
        <v>6</v>
      </c>
      <c r="D9" s="19"/>
      <c r="G9" s="23" t="s">
        <v>191</v>
      </c>
      <c r="H9" s="32">
        <f>B9/MassFlow!B5</f>
        <v>126.94574453645772</v>
      </c>
      <c r="I9" s="11" t="s">
        <v>36</v>
      </c>
      <c r="J9" s="19"/>
    </row>
    <row r="10" spans="1:10" x14ac:dyDescent="0.25">
      <c r="A10" s="44"/>
      <c r="B10" s="43"/>
      <c r="C10" s="44"/>
      <c r="D10" s="19"/>
      <c r="G10" s="44"/>
      <c r="H10" s="43"/>
      <c r="I10" s="44"/>
      <c r="J10" s="19"/>
    </row>
    <row r="11" spans="1:10" x14ac:dyDescent="0.25">
      <c r="D11" s="19"/>
      <c r="J11" s="19"/>
    </row>
    <row r="12" spans="1:10" x14ac:dyDescent="0.25">
      <c r="A12" s="18" t="s">
        <v>84</v>
      </c>
      <c r="B12" s="12"/>
      <c r="C12" s="12"/>
      <c r="D12" s="20"/>
      <c r="G12" s="18" t="s">
        <v>146</v>
      </c>
      <c r="H12" s="12"/>
      <c r="I12" s="12"/>
      <c r="J12" s="20"/>
    </row>
    <row r="13" spans="1:10" x14ac:dyDescent="0.25">
      <c r="A13" s="49" t="s">
        <v>29</v>
      </c>
      <c r="B13" s="48" t="s">
        <v>0</v>
      </c>
      <c r="C13" s="48" t="s">
        <v>1</v>
      </c>
      <c r="D13" s="19"/>
      <c r="G13" s="49" t="s">
        <v>29</v>
      </c>
      <c r="H13" s="48" t="s">
        <v>0</v>
      </c>
      <c r="I13" s="48" t="s">
        <v>1</v>
      </c>
      <c r="J13" s="19"/>
    </row>
    <row r="14" spans="1:10" x14ac:dyDescent="0.25">
      <c r="A14" s="11" t="s">
        <v>363</v>
      </c>
      <c r="B14" s="24">
        <f>B43/200000*B25*3.6*B5</f>
        <v>7044704164.9244843</v>
      </c>
      <c r="C14" s="23" t="s">
        <v>31</v>
      </c>
      <c r="G14" s="11" t="s">
        <v>363</v>
      </c>
      <c r="H14" s="32">
        <f>B14/MassFlow!B5</f>
        <v>209.60143305339139</v>
      </c>
      <c r="I14" s="23" t="s">
        <v>10</v>
      </c>
    </row>
    <row r="15" spans="1:10" x14ac:dyDescent="0.25">
      <c r="A15" s="11" t="s">
        <v>364</v>
      </c>
      <c r="B15" s="24">
        <f>B54/200000*B25*3.6*B5</f>
        <v>1216899591.1318955</v>
      </c>
      <c r="C15" s="23" t="s">
        <v>31</v>
      </c>
      <c r="G15" s="11" t="s">
        <v>364</v>
      </c>
      <c r="H15" s="32">
        <f>B15/MassFlow!B5</f>
        <v>36.20647399975887</v>
      </c>
      <c r="I15" s="23" t="s">
        <v>10</v>
      </c>
    </row>
    <row r="16" spans="1:10" x14ac:dyDescent="0.25">
      <c r="A16" s="11" t="s">
        <v>365</v>
      </c>
      <c r="B16" s="24">
        <f>B61/200000*B25*3.6*B5</f>
        <v>888371442.26723433</v>
      </c>
      <c r="C16" s="23" t="s">
        <v>31</v>
      </c>
      <c r="G16" s="11" t="s">
        <v>365</v>
      </c>
      <c r="H16" s="32">
        <f>B16/MassFlow!B5</f>
        <v>26.431759662815661</v>
      </c>
      <c r="I16" s="23" t="s">
        <v>10</v>
      </c>
    </row>
    <row r="17" spans="1:9" x14ac:dyDescent="0.25">
      <c r="A17" s="11" t="s">
        <v>366</v>
      </c>
      <c r="B17" s="24">
        <f>B8*B35/100*B74/1000</f>
        <v>36512439.321789324</v>
      </c>
      <c r="C17" s="23" t="s">
        <v>31</v>
      </c>
      <c r="G17" s="11" t="s">
        <v>366</v>
      </c>
      <c r="H17" s="32">
        <f>B17/MassFlow!B5</f>
        <v>1.0863564213564214</v>
      </c>
      <c r="I17" s="23" t="s">
        <v>10</v>
      </c>
    </row>
    <row r="18" spans="1:9" x14ac:dyDescent="0.25">
      <c r="A18" s="23" t="s">
        <v>122</v>
      </c>
      <c r="B18" s="24">
        <v>0</v>
      </c>
      <c r="C18" s="23" t="s">
        <v>31</v>
      </c>
      <c r="G18" s="23" t="s">
        <v>122</v>
      </c>
      <c r="H18" s="32">
        <f>B18/MassFlow!B6</f>
        <v>0</v>
      </c>
      <c r="I18" s="23" t="s">
        <v>10</v>
      </c>
    </row>
    <row r="19" spans="1:9" x14ac:dyDescent="0.25">
      <c r="A19" s="50" t="s">
        <v>123</v>
      </c>
      <c r="B19" s="51">
        <f>SUM(B14:B17)</f>
        <v>9186487637.6454029</v>
      </c>
      <c r="C19" s="50" t="s">
        <v>31</v>
      </c>
      <c r="G19" s="50" t="s">
        <v>123</v>
      </c>
      <c r="H19" s="100">
        <f>SUM(H14:H17)</f>
        <v>273.3260231373223</v>
      </c>
      <c r="I19" s="50" t="s">
        <v>10</v>
      </c>
    </row>
    <row r="20" spans="1:9" x14ac:dyDescent="0.25">
      <c r="A20" s="52" t="s">
        <v>124</v>
      </c>
      <c r="B20" s="53">
        <f>SUM(B18:B19)</f>
        <v>9186487637.6454029</v>
      </c>
      <c r="C20" s="52" t="s">
        <v>31</v>
      </c>
      <c r="G20" s="52" t="s">
        <v>124</v>
      </c>
      <c r="H20" s="72">
        <f>SUM(H18:H19)</f>
        <v>273.3260231373223</v>
      </c>
      <c r="I20" s="52" t="s">
        <v>10</v>
      </c>
    </row>
    <row r="21" spans="1:9" x14ac:dyDescent="0.25">
      <c r="A21" s="54"/>
      <c r="B21" s="55"/>
      <c r="C21" s="54"/>
    </row>
    <row r="23" spans="1:9" x14ac:dyDescent="0.25">
      <c r="A23" s="33" t="s">
        <v>68</v>
      </c>
      <c r="B23" s="34"/>
      <c r="C23" s="34"/>
      <c r="D23" s="34"/>
    </row>
    <row r="24" spans="1:9" x14ac:dyDescent="0.25">
      <c r="A24" s="14" t="s">
        <v>178</v>
      </c>
      <c r="B24" s="14" t="s">
        <v>0</v>
      </c>
      <c r="C24" s="14" t="s">
        <v>1</v>
      </c>
      <c r="D24" s="14" t="s">
        <v>50</v>
      </c>
    </row>
    <row r="25" spans="1:9" x14ac:dyDescent="0.25">
      <c r="A25" s="11" t="s">
        <v>179</v>
      </c>
      <c r="B25" s="11">
        <v>96</v>
      </c>
      <c r="C25" s="11" t="s">
        <v>126</v>
      </c>
      <c r="D25" s="11" t="s">
        <v>196</v>
      </c>
    </row>
    <row r="26" spans="1:9" x14ac:dyDescent="0.25">
      <c r="A26" s="11" t="s">
        <v>180</v>
      </c>
      <c r="B26" s="11">
        <v>25</v>
      </c>
      <c r="C26" s="11" t="s">
        <v>34</v>
      </c>
      <c r="D26" s="11" t="s">
        <v>196</v>
      </c>
    </row>
    <row r="27" spans="1:9" x14ac:dyDescent="0.25">
      <c r="A27" s="11" t="s">
        <v>358</v>
      </c>
      <c r="B27" s="11">
        <v>200</v>
      </c>
      <c r="C27" s="11" t="s">
        <v>359</v>
      </c>
      <c r="D27" s="11"/>
    </row>
    <row r="28" spans="1:9" x14ac:dyDescent="0.25">
      <c r="A28" s="11" t="s">
        <v>304</v>
      </c>
      <c r="B28" s="11">
        <v>1</v>
      </c>
      <c r="C28" s="11" t="s">
        <v>308</v>
      </c>
      <c r="D28" s="11" t="s">
        <v>186</v>
      </c>
    </row>
    <row r="29" spans="1:9" x14ac:dyDescent="0.25">
      <c r="A29" s="11" t="s">
        <v>181</v>
      </c>
      <c r="B29" s="11">
        <v>1</v>
      </c>
      <c r="C29" s="11" t="s">
        <v>182</v>
      </c>
      <c r="D29" s="11" t="s">
        <v>196</v>
      </c>
    </row>
    <row r="30" spans="1:9" x14ac:dyDescent="0.25">
      <c r="A30" s="11" t="s">
        <v>183</v>
      </c>
      <c r="B30" s="11">
        <v>180</v>
      </c>
      <c r="C30" s="11" t="s">
        <v>184</v>
      </c>
      <c r="D30" s="11" t="s">
        <v>186</v>
      </c>
    </row>
    <row r="31" spans="1:9" x14ac:dyDescent="0.25">
      <c r="A31" s="11" t="s">
        <v>291</v>
      </c>
      <c r="B31" s="11">
        <v>0.7</v>
      </c>
      <c r="C31" s="11"/>
      <c r="D31" s="11" t="s">
        <v>290</v>
      </c>
    </row>
    <row r="32" spans="1:9" x14ac:dyDescent="0.25">
      <c r="A32" s="11" t="s">
        <v>292</v>
      </c>
      <c r="B32" s="11">
        <v>0.5</v>
      </c>
      <c r="C32" s="11"/>
      <c r="D32" s="11" t="s">
        <v>360</v>
      </c>
    </row>
    <row r="33" spans="1:62" x14ac:dyDescent="0.25">
      <c r="A33" s="57"/>
      <c r="B33" s="58"/>
      <c r="C33" s="58"/>
      <c r="D33" s="58"/>
    </row>
    <row r="34" spans="1:62" x14ac:dyDescent="0.25">
      <c r="A34" s="14" t="s">
        <v>42</v>
      </c>
      <c r="B34" s="14" t="s">
        <v>0</v>
      </c>
      <c r="C34" s="14" t="s">
        <v>1</v>
      </c>
      <c r="D34" s="14" t="s">
        <v>50</v>
      </c>
    </row>
    <row r="35" spans="1:62" x14ac:dyDescent="0.25">
      <c r="A35" s="11" t="s">
        <v>185</v>
      </c>
      <c r="B35" s="11">
        <f>FungalBiomassDrying!B31</f>
        <v>25</v>
      </c>
      <c r="C35" s="11" t="s">
        <v>25</v>
      </c>
      <c r="D35" s="11" t="s">
        <v>186</v>
      </c>
    </row>
    <row r="36" spans="1:62" x14ac:dyDescent="0.25">
      <c r="A36" s="11" t="s">
        <v>188</v>
      </c>
      <c r="B36" s="11">
        <f>0.137*('Pretreatment&amp;Hydrolysis'!B49+'Pretreatment&amp;Hydrolysis'!B50+'Pretreatment&amp;Hydrolysis'!B51)/0.297/1000</f>
        <v>2.4886026936026942E-2</v>
      </c>
      <c r="C36" s="11" t="s">
        <v>189</v>
      </c>
      <c r="D36" s="11" t="s">
        <v>196</v>
      </c>
    </row>
    <row r="37" spans="1:62" x14ac:dyDescent="0.25">
      <c r="A37" s="44"/>
      <c r="B37" s="44"/>
      <c r="C37" s="44"/>
      <c r="D37" s="44"/>
      <c r="E37" s="44"/>
    </row>
    <row r="38" spans="1:62" x14ac:dyDescent="0.25">
      <c r="A38" s="16" t="s">
        <v>315</v>
      </c>
      <c r="B38" s="16" t="s">
        <v>0</v>
      </c>
      <c r="C38" s="16" t="s">
        <v>1</v>
      </c>
      <c r="D38" s="16" t="s">
        <v>50</v>
      </c>
      <c r="E38" s="44"/>
    </row>
    <row r="39" spans="1:62" x14ac:dyDescent="0.25">
      <c r="A39" s="60" t="s">
        <v>303</v>
      </c>
      <c r="B39" s="61">
        <f>200/60*B29</f>
        <v>3.3333333333333335</v>
      </c>
      <c r="C39" s="60" t="s">
        <v>23</v>
      </c>
      <c r="D39" s="23"/>
    </row>
    <row r="40" spans="1:62" x14ac:dyDescent="0.25">
      <c r="A40" s="60" t="s">
        <v>177</v>
      </c>
      <c r="B40" s="61">
        <v>1.4</v>
      </c>
      <c r="C40" s="60"/>
      <c r="D40" s="23" t="s">
        <v>174</v>
      </c>
    </row>
    <row r="41" spans="1:62" x14ac:dyDescent="0.25">
      <c r="A41" s="69" t="s">
        <v>24</v>
      </c>
      <c r="B41" s="63"/>
      <c r="C41" s="64"/>
      <c r="D41" s="65"/>
    </row>
    <row r="42" spans="1:62" s="56" customFormat="1" ht="14.4" x14ac:dyDescent="0.3">
      <c r="A42" s="77" t="s">
        <v>176</v>
      </c>
      <c r="B42" s="67">
        <f>B40/(B40-1)*B46*((B47/B46)^((B40-1)/B40)-1)</f>
        <v>129058.33732477056</v>
      </c>
      <c r="C42" s="68"/>
      <c r="D42" s="66" t="s">
        <v>174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</row>
    <row r="43" spans="1:62" s="56" customFormat="1" x14ac:dyDescent="0.25">
      <c r="A43" s="66" t="s">
        <v>175</v>
      </c>
      <c r="B43" s="67">
        <f>B42*B39/1000/B32</f>
        <v>860.3889154984704</v>
      </c>
      <c r="C43" s="68" t="s">
        <v>312</v>
      </c>
      <c r="D43" s="66" t="s">
        <v>174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</row>
    <row r="44" spans="1:62" x14ac:dyDescent="0.25">
      <c r="A44" s="44"/>
      <c r="B44" s="44"/>
      <c r="C44" s="44"/>
      <c r="D44" s="44"/>
    </row>
    <row r="45" spans="1:62" x14ac:dyDescent="0.25">
      <c r="A45" s="59" t="s">
        <v>314</v>
      </c>
      <c r="B45" s="59" t="s">
        <v>5</v>
      </c>
      <c r="C45" s="59" t="s">
        <v>2</v>
      </c>
      <c r="D45" s="27" t="s">
        <v>50</v>
      </c>
    </row>
    <row r="46" spans="1:62" s="19" customFormat="1" x14ac:dyDescent="0.25">
      <c r="A46" s="73" t="s">
        <v>8</v>
      </c>
      <c r="B46" s="92">
        <v>100000</v>
      </c>
      <c r="C46" s="73" t="s">
        <v>9</v>
      </c>
      <c r="D46" s="23" t="s">
        <v>174</v>
      </c>
    </row>
    <row r="47" spans="1:62" s="19" customFormat="1" x14ac:dyDescent="0.25">
      <c r="A47" s="73" t="s">
        <v>172</v>
      </c>
      <c r="B47" s="61">
        <v>300000</v>
      </c>
      <c r="C47" s="73" t="s">
        <v>9</v>
      </c>
      <c r="D47" s="23" t="s">
        <v>174</v>
      </c>
    </row>
    <row r="48" spans="1:62" s="19" customFormat="1" x14ac:dyDescent="0.25">
      <c r="A48" s="73" t="s">
        <v>173</v>
      </c>
      <c r="B48" s="61">
        <v>261800</v>
      </c>
      <c r="C48" s="73" t="s">
        <v>9</v>
      </c>
      <c r="D48" s="23" t="s">
        <v>318</v>
      </c>
    </row>
    <row r="49" spans="1:62" x14ac:dyDescent="0.25">
      <c r="A49" s="60" t="s">
        <v>289</v>
      </c>
      <c r="B49" s="61">
        <v>0.35</v>
      </c>
      <c r="C49" s="62"/>
      <c r="D49" s="23" t="s">
        <v>306</v>
      </c>
    </row>
    <row r="50" spans="1:62" x14ac:dyDescent="0.25">
      <c r="A50" s="60" t="s">
        <v>323</v>
      </c>
      <c r="B50" s="61">
        <v>1.65</v>
      </c>
      <c r="C50" s="62" t="s">
        <v>14</v>
      </c>
      <c r="D50" s="23" t="s">
        <v>306</v>
      </c>
    </row>
    <row r="51" spans="1:62" x14ac:dyDescent="0.25">
      <c r="A51" s="60" t="s">
        <v>16</v>
      </c>
      <c r="B51" s="61">
        <v>1000</v>
      </c>
      <c r="C51" s="62" t="s">
        <v>17</v>
      </c>
      <c r="D51" s="23" t="s">
        <v>306</v>
      </c>
    </row>
    <row r="52" spans="1:62" x14ac:dyDescent="0.25">
      <c r="A52" s="60" t="s">
        <v>128</v>
      </c>
      <c r="B52" s="61">
        <v>3</v>
      </c>
      <c r="C52" s="62" t="s">
        <v>20</v>
      </c>
      <c r="D52" s="23" t="s">
        <v>306</v>
      </c>
    </row>
    <row r="53" spans="1:62" x14ac:dyDescent="0.25">
      <c r="A53" s="69" t="s">
        <v>24</v>
      </c>
      <c r="B53" s="63"/>
      <c r="C53" s="64"/>
      <c r="D53" s="65"/>
    </row>
    <row r="54" spans="1:62" s="56" customFormat="1" x14ac:dyDescent="0.25">
      <c r="A54" s="66" t="s">
        <v>26</v>
      </c>
      <c r="B54" s="67">
        <f>(0.9+2.1*EXP(-7.32*B39*B46/B48))*B49*B51*B52^3*B50^5/1000/B31</f>
        <v>148.62326294658919</v>
      </c>
      <c r="C54" s="68" t="s">
        <v>312</v>
      </c>
      <c r="D54" s="66" t="s">
        <v>174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</row>
    <row r="55" spans="1:62" s="56" customFormat="1" x14ac:dyDescent="0.25">
      <c r="A55" s="74"/>
      <c r="B55" s="75"/>
      <c r="C55" s="76"/>
      <c r="D55" s="76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</row>
    <row r="56" spans="1:62" x14ac:dyDescent="0.25">
      <c r="A56" s="59" t="s">
        <v>313</v>
      </c>
      <c r="B56" s="59" t="s">
        <v>5</v>
      </c>
      <c r="C56" s="59" t="s">
        <v>2</v>
      </c>
      <c r="D56" s="27" t="s">
        <v>50</v>
      </c>
    </row>
    <row r="57" spans="1:62" s="19" customFormat="1" x14ac:dyDescent="0.25">
      <c r="A57" s="73" t="s">
        <v>300</v>
      </c>
      <c r="B57" s="91">
        <v>0.6</v>
      </c>
      <c r="C57" s="73" t="s">
        <v>316</v>
      </c>
      <c r="D57" s="23" t="s">
        <v>317</v>
      </c>
    </row>
    <row r="58" spans="1:62" s="19" customFormat="1" x14ac:dyDescent="0.25">
      <c r="A58" s="73" t="s">
        <v>309</v>
      </c>
      <c r="B58" s="91">
        <v>460</v>
      </c>
      <c r="C58" s="73" t="s">
        <v>305</v>
      </c>
      <c r="D58" s="23" t="s">
        <v>306</v>
      </c>
    </row>
    <row r="59" spans="1:62" s="19" customFormat="1" x14ac:dyDescent="0.25">
      <c r="A59" s="73" t="s">
        <v>301</v>
      </c>
      <c r="B59" s="61">
        <f>B58*B28*B25</f>
        <v>44160</v>
      </c>
      <c r="C59" s="73" t="s">
        <v>307</v>
      </c>
      <c r="D59" s="23" t="s">
        <v>59</v>
      </c>
    </row>
    <row r="60" spans="1:62" x14ac:dyDescent="0.25">
      <c r="A60" s="69" t="s">
        <v>24</v>
      </c>
      <c r="B60" s="63"/>
      <c r="C60" s="64"/>
      <c r="D60" s="65"/>
    </row>
    <row r="61" spans="1:62" s="56" customFormat="1" x14ac:dyDescent="0.25">
      <c r="A61" s="66" t="s">
        <v>302</v>
      </c>
      <c r="B61" s="67">
        <f>B59*B36*200000/B25/12661*0.6</f>
        <v>108.49922493236609</v>
      </c>
      <c r="C61" s="68" t="s">
        <v>312</v>
      </c>
      <c r="D61" s="66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</row>
    <row r="62" spans="1:62" s="56" customFormat="1" x14ac:dyDescent="0.25">
      <c r="A62" s="76"/>
      <c r="B62" s="75"/>
      <c r="C62" s="76"/>
      <c r="D62" s="76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</row>
    <row r="63" spans="1:62" x14ac:dyDescent="0.25">
      <c r="A63" s="94" t="s">
        <v>27</v>
      </c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</row>
    <row r="64" spans="1:62" x14ac:dyDescent="0.25">
      <c r="A64" s="26" t="s">
        <v>361</v>
      </c>
    </row>
    <row r="65" spans="1:62" x14ac:dyDescent="0.25">
      <c r="A65" s="26" t="s">
        <v>319</v>
      </c>
    </row>
    <row r="66" spans="1:62" x14ac:dyDescent="0.25">
      <c r="A66" s="44" t="s">
        <v>320</v>
      </c>
    </row>
    <row r="68" spans="1:62" x14ac:dyDescent="0.25">
      <c r="A68" s="59" t="s">
        <v>344</v>
      </c>
      <c r="B68" s="59" t="s">
        <v>5</v>
      </c>
      <c r="C68" s="59" t="s">
        <v>2</v>
      </c>
      <c r="D68" s="14" t="s">
        <v>50</v>
      </c>
    </row>
    <row r="69" spans="1:62" x14ac:dyDescent="0.25">
      <c r="A69" s="60" t="s">
        <v>343</v>
      </c>
      <c r="B69" s="61">
        <v>168</v>
      </c>
      <c r="C69" s="62" t="s">
        <v>339</v>
      </c>
      <c r="D69" s="23" t="s">
        <v>340</v>
      </c>
    </row>
    <row r="70" spans="1:62" x14ac:dyDescent="0.25">
      <c r="A70" s="60" t="s">
        <v>346</v>
      </c>
      <c r="B70" s="61">
        <v>1</v>
      </c>
      <c r="C70" s="62" t="s">
        <v>1</v>
      </c>
      <c r="D70" s="23"/>
    </row>
    <row r="71" spans="1:62" x14ac:dyDescent="0.25">
      <c r="A71" s="60" t="s">
        <v>342</v>
      </c>
      <c r="B71" s="61">
        <v>20</v>
      </c>
      <c r="C71" s="62" t="s">
        <v>348</v>
      </c>
      <c r="D71" s="23" t="s">
        <v>340</v>
      </c>
    </row>
    <row r="72" spans="1:62" x14ac:dyDescent="0.25">
      <c r="A72" s="60" t="s">
        <v>341</v>
      </c>
      <c r="B72" s="61">
        <v>289</v>
      </c>
      <c r="C72" s="62" t="s">
        <v>345</v>
      </c>
      <c r="D72" s="23" t="s">
        <v>340</v>
      </c>
    </row>
    <row r="73" spans="1:62" x14ac:dyDescent="0.25">
      <c r="A73" s="69" t="s">
        <v>24</v>
      </c>
      <c r="B73" s="63"/>
      <c r="C73" s="64"/>
      <c r="D73" s="65"/>
    </row>
    <row r="74" spans="1:62" s="56" customFormat="1" x14ac:dyDescent="0.25">
      <c r="A74" s="66" t="s">
        <v>347</v>
      </c>
      <c r="B74" s="67">
        <f>B72/(B69*B71)*3600</f>
        <v>309.64285714285717</v>
      </c>
      <c r="C74" s="68" t="s">
        <v>349</v>
      </c>
      <c r="D74" s="66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pane ySplit="1" topLeftCell="A5" activePane="bottomLeft" state="frozenSplit"/>
      <selection pane="bottomLeft" activeCell="B7" sqref="B7"/>
    </sheetView>
  </sheetViews>
  <sheetFormatPr defaultColWidth="9.109375" defaultRowHeight="13.8" x14ac:dyDescent="0.25"/>
  <cols>
    <col min="1" max="1" width="42.33203125" style="13" customWidth="1"/>
    <col min="2" max="2" width="17.109375" style="13" customWidth="1"/>
    <col min="3" max="3" width="26.109375" style="13" customWidth="1"/>
    <col min="4" max="4" width="20.33203125" style="13" customWidth="1"/>
    <col min="5" max="6" width="9.109375" style="13"/>
    <col min="7" max="7" width="39.33203125" style="13" customWidth="1"/>
    <col min="8" max="8" width="21.33203125" style="13" customWidth="1"/>
    <col min="9" max="9" width="17" style="13" customWidth="1"/>
    <col min="10" max="16384" width="9.109375" style="13"/>
  </cols>
  <sheetData>
    <row r="1" spans="1:10" s="42" customFormat="1" ht="17.399999999999999" x14ac:dyDescent="0.3">
      <c r="A1" s="41" t="s">
        <v>195</v>
      </c>
    </row>
    <row r="2" spans="1:10" x14ac:dyDescent="0.25">
      <c r="D2" s="19"/>
    </row>
    <row r="3" spans="1:10" x14ac:dyDescent="0.25">
      <c r="A3" s="18" t="s">
        <v>83</v>
      </c>
      <c r="B3" s="12"/>
      <c r="C3" s="12"/>
      <c r="D3" s="20"/>
      <c r="G3" s="18" t="s">
        <v>145</v>
      </c>
      <c r="H3" s="12"/>
      <c r="I3" s="12"/>
      <c r="J3" s="20"/>
    </row>
    <row r="4" spans="1:10" x14ac:dyDescent="0.25">
      <c r="A4" s="48" t="s">
        <v>28</v>
      </c>
      <c r="B4" s="48" t="s">
        <v>0</v>
      </c>
      <c r="C4" s="48" t="s">
        <v>1</v>
      </c>
      <c r="D4" s="19"/>
      <c r="G4" s="48" t="s">
        <v>28</v>
      </c>
      <c r="H4" s="48" t="s">
        <v>0</v>
      </c>
      <c r="I4" s="48" t="s">
        <v>1</v>
      </c>
      <c r="J4" s="19"/>
    </row>
    <row r="5" spans="1:10" x14ac:dyDescent="0.25">
      <c r="A5" s="11" t="s">
        <v>192</v>
      </c>
      <c r="B5" s="31">
        <f>B7/B31*100</f>
        <v>471671649.83164984</v>
      </c>
      <c r="C5" s="11" t="s">
        <v>6</v>
      </c>
      <c r="D5" s="19"/>
      <c r="G5" s="11" t="s">
        <v>192</v>
      </c>
      <c r="H5" s="32">
        <f>B5/MassFlow!B5</f>
        <v>14.033670033670035</v>
      </c>
      <c r="I5" s="11" t="s">
        <v>36</v>
      </c>
      <c r="J5" s="19"/>
    </row>
    <row r="6" spans="1:10" x14ac:dyDescent="0.25">
      <c r="A6" s="48" t="s">
        <v>35</v>
      </c>
      <c r="B6" s="48" t="s">
        <v>0</v>
      </c>
      <c r="C6" s="48" t="s">
        <v>1</v>
      </c>
      <c r="D6" s="19"/>
      <c r="G6" s="48" t="s">
        <v>35</v>
      </c>
      <c r="H6" s="48" t="s">
        <v>0</v>
      </c>
      <c r="I6" s="48" t="s">
        <v>1</v>
      </c>
      <c r="J6" s="19"/>
    </row>
    <row r="7" spans="1:10" x14ac:dyDescent="0.25">
      <c r="A7" s="23" t="s">
        <v>41</v>
      </c>
      <c r="B7" s="31">
        <f>LipidExtractTransesterification!B5</f>
        <v>117917912.45791246</v>
      </c>
      <c r="C7" s="11" t="s">
        <v>6</v>
      </c>
      <c r="D7" s="19"/>
      <c r="G7" s="23" t="s">
        <v>41</v>
      </c>
      <c r="H7" s="32">
        <f>B7/MassFlow!B5</f>
        <v>3.5084175084175087</v>
      </c>
      <c r="I7" s="11" t="s">
        <v>36</v>
      </c>
      <c r="J7" s="19"/>
    </row>
    <row r="8" spans="1:10" x14ac:dyDescent="0.25">
      <c r="A8" s="44"/>
      <c r="B8" s="43"/>
      <c r="C8" s="44"/>
      <c r="D8" s="19"/>
      <c r="G8" s="44"/>
      <c r="H8" s="43"/>
      <c r="I8" s="44"/>
      <c r="J8" s="19"/>
    </row>
    <row r="9" spans="1:10" x14ac:dyDescent="0.25">
      <c r="D9" s="19"/>
      <c r="J9" s="19"/>
    </row>
    <row r="10" spans="1:10" x14ac:dyDescent="0.25">
      <c r="A10" s="18" t="s">
        <v>84</v>
      </c>
      <c r="B10" s="12"/>
      <c r="C10" s="12"/>
      <c r="D10" s="20"/>
      <c r="G10" s="18" t="s">
        <v>146</v>
      </c>
      <c r="H10" s="12"/>
      <c r="I10" s="12"/>
      <c r="J10" s="20"/>
    </row>
    <row r="11" spans="1:10" x14ac:dyDescent="0.25">
      <c r="A11" s="49" t="s">
        <v>29</v>
      </c>
      <c r="B11" s="48" t="s">
        <v>0</v>
      </c>
      <c r="C11" s="48" t="s">
        <v>1</v>
      </c>
      <c r="D11" s="19"/>
      <c r="G11" s="49" t="s">
        <v>29</v>
      </c>
      <c r="H11" s="48" t="s">
        <v>0</v>
      </c>
      <c r="I11" s="48" t="s">
        <v>1</v>
      </c>
      <c r="J11" s="19"/>
    </row>
    <row r="12" spans="1:10" x14ac:dyDescent="0.25">
      <c r="A12" s="11" t="s">
        <v>153</v>
      </c>
      <c r="B12" s="24">
        <f>((B5-B7)*(B24*(B22-B21)+B26)+B7*B25*(B22-B21))/1000</f>
        <v>917990948.4848485</v>
      </c>
      <c r="C12" s="23" t="s">
        <v>31</v>
      </c>
      <c r="G12" s="11" t="s">
        <v>153</v>
      </c>
      <c r="H12" s="32">
        <f>B12/MassFlow!B5</f>
        <v>27.313030303030303</v>
      </c>
      <c r="I12" s="23" t="s">
        <v>10</v>
      </c>
    </row>
    <row r="13" spans="1:10" x14ac:dyDescent="0.25">
      <c r="A13" s="11" t="s">
        <v>154</v>
      </c>
      <c r="B13" s="24">
        <f>B12*B27/100</f>
        <v>18359818.969696969</v>
      </c>
      <c r="C13" s="23" t="s">
        <v>31</v>
      </c>
      <c r="G13" s="11" t="s">
        <v>154</v>
      </c>
      <c r="H13" s="32">
        <f>B13/MassFlow!B5</f>
        <v>0.546260606060606</v>
      </c>
      <c r="I13" s="23" t="s">
        <v>10</v>
      </c>
    </row>
    <row r="14" spans="1:10" x14ac:dyDescent="0.25">
      <c r="A14" s="23" t="s">
        <v>122</v>
      </c>
      <c r="B14" s="24">
        <f>B12</f>
        <v>917990948.4848485</v>
      </c>
      <c r="C14" s="23" t="s">
        <v>31</v>
      </c>
      <c r="G14" s="23" t="s">
        <v>122</v>
      </c>
      <c r="H14" s="70">
        <f>H12</f>
        <v>27.313030303030303</v>
      </c>
      <c r="I14" s="23" t="s">
        <v>10</v>
      </c>
    </row>
    <row r="15" spans="1:10" x14ac:dyDescent="0.25">
      <c r="A15" s="50" t="s">
        <v>123</v>
      </c>
      <c r="B15" s="51">
        <f>B13</f>
        <v>18359818.969696969</v>
      </c>
      <c r="C15" s="50" t="s">
        <v>31</v>
      </c>
      <c r="G15" s="50" t="s">
        <v>123</v>
      </c>
      <c r="H15" s="71">
        <f>H13</f>
        <v>0.546260606060606</v>
      </c>
      <c r="I15" s="50" t="s">
        <v>10</v>
      </c>
    </row>
    <row r="16" spans="1:10" x14ac:dyDescent="0.25">
      <c r="A16" s="52" t="s">
        <v>124</v>
      </c>
      <c r="B16" s="53">
        <f>B14+B15</f>
        <v>936350767.4545455</v>
      </c>
      <c r="C16" s="52" t="s">
        <v>31</v>
      </c>
      <c r="G16" s="52" t="s">
        <v>124</v>
      </c>
      <c r="H16" s="72">
        <f>SUM(H14:H15)</f>
        <v>27.859290909090909</v>
      </c>
      <c r="I16" s="52" t="s">
        <v>10</v>
      </c>
    </row>
    <row r="17" spans="1:4" x14ac:dyDescent="0.25">
      <c r="A17" s="54"/>
      <c r="B17" s="55"/>
      <c r="C17" s="54"/>
    </row>
    <row r="19" spans="1:4" x14ac:dyDescent="0.25">
      <c r="A19" s="33" t="s">
        <v>68</v>
      </c>
      <c r="B19" s="34"/>
      <c r="C19" s="34"/>
      <c r="D19" s="34"/>
    </row>
    <row r="20" spans="1:4" x14ac:dyDescent="0.25">
      <c r="A20" s="14" t="s">
        <v>148</v>
      </c>
      <c r="B20" s="14" t="s">
        <v>0</v>
      </c>
      <c r="C20" s="14" t="s">
        <v>1</v>
      </c>
      <c r="D20" s="14" t="s">
        <v>50</v>
      </c>
    </row>
    <row r="21" spans="1:4" x14ac:dyDescent="0.25">
      <c r="A21" s="11" t="s">
        <v>194</v>
      </c>
      <c r="B21" s="11">
        <v>25</v>
      </c>
      <c r="C21" s="11" t="s">
        <v>34</v>
      </c>
      <c r="D21" s="11" t="s">
        <v>150</v>
      </c>
    </row>
    <row r="22" spans="1:4" x14ac:dyDescent="0.25">
      <c r="A22" s="11" t="s">
        <v>155</v>
      </c>
      <c r="B22" s="11">
        <v>100</v>
      </c>
      <c r="C22" s="11" t="s">
        <v>34</v>
      </c>
      <c r="D22" s="11" t="s">
        <v>150</v>
      </c>
    </row>
    <row r="23" spans="1:4" x14ac:dyDescent="0.25">
      <c r="A23" s="11" t="s">
        <v>202</v>
      </c>
      <c r="B23" s="11">
        <v>29.7</v>
      </c>
      <c r="C23" s="11" t="s">
        <v>46</v>
      </c>
      <c r="D23" s="11" t="s">
        <v>186</v>
      </c>
    </row>
    <row r="24" spans="1:4" x14ac:dyDescent="0.25">
      <c r="A24" s="11" t="s">
        <v>163</v>
      </c>
      <c r="B24" s="11">
        <v>4.18</v>
      </c>
      <c r="C24" s="11" t="s">
        <v>65</v>
      </c>
      <c r="D24" s="11"/>
    </row>
    <row r="25" spans="1:4" x14ac:dyDescent="0.25">
      <c r="A25" s="11" t="s">
        <v>193</v>
      </c>
      <c r="B25" s="11">
        <v>1.5</v>
      </c>
      <c r="C25" s="11" t="s">
        <v>65</v>
      </c>
      <c r="D25" s="11"/>
    </row>
    <row r="26" spans="1:4" x14ac:dyDescent="0.25">
      <c r="A26" s="11" t="s">
        <v>330</v>
      </c>
      <c r="B26" s="11">
        <v>2244</v>
      </c>
      <c r="C26" s="11" t="s">
        <v>157</v>
      </c>
      <c r="D26" s="11" t="s">
        <v>158</v>
      </c>
    </row>
    <row r="27" spans="1:4" x14ac:dyDescent="0.25">
      <c r="A27" s="11" t="s">
        <v>160</v>
      </c>
      <c r="B27" s="11">
        <v>2</v>
      </c>
      <c r="C27" s="11" t="s">
        <v>161</v>
      </c>
      <c r="D27" s="11" t="s">
        <v>162</v>
      </c>
    </row>
    <row r="28" spans="1:4" x14ac:dyDescent="0.25">
      <c r="A28" s="57"/>
      <c r="B28" s="58"/>
      <c r="C28" s="58"/>
      <c r="D28" s="58"/>
    </row>
    <row r="30" spans="1:4" x14ac:dyDescent="0.25">
      <c r="A30" s="14" t="s">
        <v>42</v>
      </c>
      <c r="B30" s="14" t="s">
        <v>0</v>
      </c>
      <c r="C30" s="14" t="s">
        <v>1</v>
      </c>
      <c r="D30" s="14" t="s">
        <v>50</v>
      </c>
    </row>
    <row r="31" spans="1:4" x14ac:dyDescent="0.25">
      <c r="A31" s="11" t="s">
        <v>185</v>
      </c>
      <c r="B31" s="11">
        <v>25</v>
      </c>
      <c r="C31" s="11" t="s">
        <v>25</v>
      </c>
      <c r="D31" s="11" t="s">
        <v>186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Normal="100" workbookViewId="0">
      <pane ySplit="1" topLeftCell="A23" activePane="bottomLeft" state="frozenSplit"/>
      <selection pane="bottomLeft" activeCell="B41" sqref="B41"/>
    </sheetView>
  </sheetViews>
  <sheetFormatPr defaultColWidth="9.109375" defaultRowHeight="13.8" x14ac:dyDescent="0.25"/>
  <cols>
    <col min="1" max="1" width="42.33203125" style="13" customWidth="1"/>
    <col min="2" max="2" width="17.109375" style="13" customWidth="1"/>
    <col min="3" max="3" width="26.109375" style="13" customWidth="1"/>
    <col min="4" max="4" width="20.33203125" style="13" customWidth="1"/>
    <col min="5" max="6" width="9.109375" style="13"/>
    <col min="7" max="7" width="39.33203125" style="13" customWidth="1"/>
    <col min="8" max="8" width="21.33203125" style="13" customWidth="1"/>
    <col min="9" max="9" width="17" style="13" customWidth="1"/>
    <col min="10" max="16384" width="9.109375" style="13"/>
  </cols>
  <sheetData>
    <row r="1" spans="1:10" s="42" customFormat="1" ht="17.399999999999999" x14ac:dyDescent="0.3">
      <c r="A1" s="41" t="s">
        <v>197</v>
      </c>
    </row>
    <row r="2" spans="1:10" x14ac:dyDescent="0.25">
      <c r="D2" s="19"/>
    </row>
    <row r="3" spans="1:10" x14ac:dyDescent="0.25">
      <c r="A3" s="18" t="s">
        <v>205</v>
      </c>
      <c r="B3" s="12"/>
      <c r="C3" s="12"/>
      <c r="D3" s="20"/>
      <c r="G3" s="18" t="s">
        <v>207</v>
      </c>
      <c r="H3" s="12"/>
      <c r="I3" s="12"/>
      <c r="J3" s="20"/>
    </row>
    <row r="4" spans="1:10" x14ac:dyDescent="0.25">
      <c r="A4" s="48" t="s">
        <v>28</v>
      </c>
      <c r="B4" s="48" t="s">
        <v>0</v>
      </c>
      <c r="C4" s="48" t="s">
        <v>1</v>
      </c>
      <c r="D4" s="19"/>
      <c r="G4" s="48" t="s">
        <v>28</v>
      </c>
      <c r="H4" s="48" t="s">
        <v>0</v>
      </c>
      <c r="I4" s="48" t="s">
        <v>1</v>
      </c>
      <c r="J4" s="19"/>
    </row>
    <row r="5" spans="1:10" x14ac:dyDescent="0.25">
      <c r="A5" s="11" t="s">
        <v>41</v>
      </c>
      <c r="B5" s="31">
        <f>B9/FungalBiomassDrying!B23*100</f>
        <v>117917912.45791246</v>
      </c>
      <c r="C5" s="11" t="s">
        <v>6</v>
      </c>
      <c r="D5" s="19"/>
      <c r="G5" s="11" t="s">
        <v>41</v>
      </c>
      <c r="H5" s="32">
        <f>B5/MassFlow!B5</f>
        <v>3.5084175084175087</v>
      </c>
      <c r="I5" s="11" t="s">
        <v>36</v>
      </c>
      <c r="J5" s="19"/>
    </row>
    <row r="6" spans="1:10" x14ac:dyDescent="0.25">
      <c r="A6" s="11" t="s">
        <v>203</v>
      </c>
      <c r="B6" s="31">
        <f>B9*B45/1000</f>
        <v>103663.9952</v>
      </c>
      <c r="C6" s="11" t="s">
        <v>6</v>
      </c>
      <c r="D6" s="19"/>
      <c r="G6" s="11" t="s">
        <v>203</v>
      </c>
      <c r="H6" s="32">
        <f>B6/MassFlow!B5</f>
        <v>3.0843200000000002E-3</v>
      </c>
      <c r="I6" s="11" t="s">
        <v>36</v>
      </c>
      <c r="J6" s="19"/>
    </row>
    <row r="7" spans="1:10" x14ac:dyDescent="0.25">
      <c r="A7" s="11" t="s">
        <v>39</v>
      </c>
      <c r="B7" s="31">
        <f>B46*B9/1000</f>
        <v>89200066.140000001</v>
      </c>
      <c r="C7" s="11" t="s">
        <v>6</v>
      </c>
      <c r="D7" s="19"/>
      <c r="G7" s="11" t="s">
        <v>39</v>
      </c>
      <c r="H7" s="32">
        <f>B7/MassFlow!B5</f>
        <v>2.6539739999999998</v>
      </c>
      <c r="I7" s="11" t="s">
        <v>36</v>
      </c>
      <c r="J7" s="19"/>
    </row>
    <row r="8" spans="1:10" x14ac:dyDescent="0.25">
      <c r="A8" s="48" t="s">
        <v>35</v>
      </c>
      <c r="B8" s="48" t="s">
        <v>0</v>
      </c>
      <c r="C8" s="48" t="s">
        <v>1</v>
      </c>
      <c r="D8" s="19"/>
      <c r="G8" s="48" t="s">
        <v>35</v>
      </c>
      <c r="H8" s="48" t="s">
        <v>0</v>
      </c>
      <c r="I8" s="48" t="s">
        <v>1</v>
      </c>
      <c r="J8" s="19"/>
    </row>
    <row r="9" spans="1:10" x14ac:dyDescent="0.25">
      <c r="A9" s="23" t="s">
        <v>77</v>
      </c>
      <c r="B9" s="31">
        <f>B24</f>
        <v>35021620</v>
      </c>
      <c r="C9" s="11" t="s">
        <v>6</v>
      </c>
      <c r="D9" s="19"/>
      <c r="G9" s="23" t="s">
        <v>77</v>
      </c>
      <c r="H9" s="32">
        <f>B9/MassFlow!B5</f>
        <v>1.042</v>
      </c>
      <c r="I9" s="11" t="s">
        <v>36</v>
      </c>
      <c r="J9" s="19"/>
    </row>
    <row r="10" spans="1:10" x14ac:dyDescent="0.25">
      <c r="A10" s="23" t="s">
        <v>204</v>
      </c>
      <c r="B10" s="31">
        <f>B5-B9</f>
        <v>82896292.45791246</v>
      </c>
      <c r="C10" s="11" t="s">
        <v>6</v>
      </c>
      <c r="D10" s="19"/>
      <c r="G10" s="23" t="s">
        <v>204</v>
      </c>
      <c r="H10" s="32">
        <f>B10/MassFlow!B5</f>
        <v>2.4664175084175084</v>
      </c>
      <c r="I10" s="11" t="s">
        <v>36</v>
      </c>
      <c r="J10" s="19"/>
    </row>
    <row r="11" spans="1:10" x14ac:dyDescent="0.25">
      <c r="A11" s="23" t="s">
        <v>222</v>
      </c>
      <c r="B11" s="31">
        <f>B7</f>
        <v>89200066.140000001</v>
      </c>
      <c r="C11" s="11" t="s">
        <v>6</v>
      </c>
      <c r="D11" s="19"/>
      <c r="G11" s="23" t="s">
        <v>222</v>
      </c>
      <c r="H11" s="32">
        <f>B11/MassFlow!B5</f>
        <v>2.6539739999999998</v>
      </c>
      <c r="I11" s="11" t="s">
        <v>36</v>
      </c>
      <c r="J11" s="19"/>
    </row>
    <row r="12" spans="1:10" x14ac:dyDescent="0.25">
      <c r="A12" s="44"/>
      <c r="B12" s="43"/>
      <c r="C12" s="44"/>
      <c r="D12" s="19"/>
      <c r="G12" s="44"/>
      <c r="H12" s="43"/>
      <c r="I12" s="44"/>
      <c r="J12" s="19"/>
    </row>
    <row r="13" spans="1:10" x14ac:dyDescent="0.25">
      <c r="A13" s="18" t="s">
        <v>206</v>
      </c>
      <c r="B13" s="12"/>
      <c r="C13" s="12"/>
      <c r="D13" s="20"/>
      <c r="G13" s="18" t="s">
        <v>208</v>
      </c>
      <c r="H13" s="12"/>
      <c r="I13" s="12"/>
      <c r="J13" s="20"/>
    </row>
    <row r="14" spans="1:10" x14ac:dyDescent="0.25">
      <c r="A14" s="49" t="s">
        <v>29</v>
      </c>
      <c r="B14" s="48" t="s">
        <v>0</v>
      </c>
      <c r="C14" s="48" t="s">
        <v>1</v>
      </c>
      <c r="D14" s="19"/>
      <c r="G14" s="49" t="s">
        <v>29</v>
      </c>
      <c r="H14" s="48" t="s">
        <v>0</v>
      </c>
      <c r="I14" s="48" t="s">
        <v>1</v>
      </c>
      <c r="J14" s="19"/>
    </row>
    <row r="15" spans="1:10" x14ac:dyDescent="0.25">
      <c r="A15" s="11" t="s">
        <v>198</v>
      </c>
      <c r="B15" s="24">
        <f>B48*B9/1000</f>
        <v>220342024.39199999</v>
      </c>
      <c r="C15" s="23" t="s">
        <v>31</v>
      </c>
      <c r="G15" s="11" t="s">
        <v>198</v>
      </c>
      <c r="H15" s="32">
        <f>B15/MassFlow!B5</f>
        <v>6.5558471999999997</v>
      </c>
      <c r="I15" s="23" t="s">
        <v>10</v>
      </c>
    </row>
    <row r="16" spans="1:10" x14ac:dyDescent="0.25">
      <c r="A16" s="11" t="s">
        <v>199</v>
      </c>
      <c r="B16" s="24">
        <f>B47*B9/1000</f>
        <v>36436493.447999999</v>
      </c>
      <c r="C16" s="23" t="s">
        <v>31</v>
      </c>
      <c r="G16" s="11" t="s">
        <v>199</v>
      </c>
      <c r="H16" s="32">
        <f>B16/MassFlow!B5</f>
        <v>1.0840968</v>
      </c>
      <c r="I16" s="23" t="s">
        <v>10</v>
      </c>
    </row>
    <row r="17" spans="1:10" x14ac:dyDescent="0.25">
      <c r="A17" s="23" t="s">
        <v>122</v>
      </c>
      <c r="B17" s="24">
        <f>B15</f>
        <v>220342024.39199999</v>
      </c>
      <c r="C17" s="23" t="s">
        <v>31</v>
      </c>
      <c r="G17" s="23" t="s">
        <v>122</v>
      </c>
      <c r="H17" s="70">
        <f>H15</f>
        <v>6.5558471999999997</v>
      </c>
      <c r="I17" s="23" t="s">
        <v>10</v>
      </c>
    </row>
    <row r="18" spans="1:10" x14ac:dyDescent="0.25">
      <c r="A18" s="50" t="s">
        <v>123</v>
      </c>
      <c r="B18" s="51">
        <f>B16</f>
        <v>36436493.447999999</v>
      </c>
      <c r="C18" s="50" t="s">
        <v>31</v>
      </c>
      <c r="G18" s="50" t="s">
        <v>123</v>
      </c>
      <c r="H18" s="71">
        <f>H16</f>
        <v>1.0840968</v>
      </c>
      <c r="I18" s="50" t="s">
        <v>10</v>
      </c>
    </row>
    <row r="19" spans="1:10" x14ac:dyDescent="0.25">
      <c r="A19" s="52" t="s">
        <v>124</v>
      </c>
      <c r="B19" s="53">
        <f>B17+B18</f>
        <v>256778517.83999997</v>
      </c>
      <c r="C19" s="52" t="s">
        <v>31</v>
      </c>
      <c r="G19" s="52" t="s">
        <v>124</v>
      </c>
      <c r="H19" s="72">
        <f>SUM(H17:H18)</f>
        <v>7.6399439999999998</v>
      </c>
      <c r="I19" s="52" t="s">
        <v>10</v>
      </c>
    </row>
    <row r="20" spans="1:10" x14ac:dyDescent="0.25">
      <c r="A20" s="54"/>
      <c r="B20" s="55"/>
      <c r="C20" s="54"/>
    </row>
    <row r="22" spans="1:10" x14ac:dyDescent="0.25">
      <c r="A22" s="18" t="s">
        <v>215</v>
      </c>
      <c r="B22" s="12"/>
      <c r="C22" s="12"/>
      <c r="D22" s="20"/>
      <c r="G22" s="18" t="s">
        <v>214</v>
      </c>
      <c r="H22" s="12"/>
      <c r="I22" s="12"/>
      <c r="J22" s="20"/>
    </row>
    <row r="23" spans="1:10" x14ac:dyDescent="0.25">
      <c r="A23" s="48" t="s">
        <v>28</v>
      </c>
      <c r="B23" s="48" t="s">
        <v>0</v>
      </c>
      <c r="C23" s="48" t="s">
        <v>1</v>
      </c>
      <c r="D23" s="19"/>
      <c r="G23" s="48" t="s">
        <v>28</v>
      </c>
      <c r="H23" s="48" t="s">
        <v>0</v>
      </c>
      <c r="I23" s="48" t="s">
        <v>1</v>
      </c>
      <c r="J23" s="19"/>
    </row>
    <row r="24" spans="1:10" x14ac:dyDescent="0.25">
      <c r="A24" s="11" t="s">
        <v>77</v>
      </c>
      <c r="B24" s="31">
        <f>B28*MassFlow!B13</f>
        <v>35021620</v>
      </c>
      <c r="C24" s="11" t="s">
        <v>6</v>
      </c>
      <c r="D24" s="19"/>
      <c r="G24" s="11" t="s">
        <v>77</v>
      </c>
      <c r="H24" s="32">
        <f>B24/MassFlow!B5</f>
        <v>1.042</v>
      </c>
      <c r="I24" s="11" t="s">
        <v>36</v>
      </c>
      <c r="J24" s="19"/>
    </row>
    <row r="25" spans="1:10" x14ac:dyDescent="0.25">
      <c r="A25" s="11" t="s">
        <v>52</v>
      </c>
      <c r="B25" s="31">
        <f>B51*B28</f>
        <v>3098842</v>
      </c>
      <c r="C25" s="11" t="s">
        <v>6</v>
      </c>
      <c r="D25" s="19"/>
      <c r="G25" s="11" t="s">
        <v>52</v>
      </c>
      <c r="H25" s="32">
        <f>B25/MassFlow!B5</f>
        <v>9.2200000000000004E-2</v>
      </c>
      <c r="I25" s="11" t="s">
        <v>36</v>
      </c>
      <c r="J25" s="19"/>
    </row>
    <row r="26" spans="1:10" x14ac:dyDescent="0.25">
      <c r="A26" s="11" t="s">
        <v>39</v>
      </c>
      <c r="B26" s="31"/>
      <c r="C26" s="11" t="s">
        <v>6</v>
      </c>
      <c r="D26" s="19"/>
      <c r="G26" s="11" t="s">
        <v>39</v>
      </c>
      <c r="H26" s="32">
        <f>B26/MassFlow!B5</f>
        <v>0</v>
      </c>
      <c r="I26" s="11" t="s">
        <v>36</v>
      </c>
      <c r="J26" s="19"/>
    </row>
    <row r="27" spans="1:10" x14ac:dyDescent="0.25">
      <c r="A27" s="48" t="s">
        <v>35</v>
      </c>
      <c r="B27" s="48" t="s">
        <v>0</v>
      </c>
      <c r="C27" s="48" t="s">
        <v>1</v>
      </c>
      <c r="D27" s="19"/>
      <c r="G27" s="48" t="s">
        <v>35</v>
      </c>
      <c r="H27" s="48" t="s">
        <v>0</v>
      </c>
      <c r="I27" s="48" t="s">
        <v>1</v>
      </c>
      <c r="J27" s="19"/>
    </row>
    <row r="28" spans="1:10" x14ac:dyDescent="0.25">
      <c r="A28" s="23" t="s">
        <v>44</v>
      </c>
      <c r="B28" s="96">
        <f>MassFlow!B5</f>
        <v>33610000</v>
      </c>
      <c r="C28" s="11" t="s">
        <v>6</v>
      </c>
      <c r="D28" s="19"/>
      <c r="G28" s="23" t="s">
        <v>44</v>
      </c>
      <c r="H28" s="32">
        <f>B28/MassFlow!B5</f>
        <v>1</v>
      </c>
      <c r="I28" s="11" t="s">
        <v>36</v>
      </c>
      <c r="J28" s="19"/>
    </row>
    <row r="29" spans="1:10" x14ac:dyDescent="0.25">
      <c r="A29" s="23" t="s">
        <v>286</v>
      </c>
      <c r="B29" s="31">
        <f>B52*B28</f>
        <v>4026478</v>
      </c>
      <c r="C29" s="11" t="s">
        <v>6</v>
      </c>
      <c r="D29" s="19"/>
      <c r="G29" s="23" t="s">
        <v>286</v>
      </c>
      <c r="H29" s="32">
        <f>B29/MassFlow!B5</f>
        <v>0.1198</v>
      </c>
      <c r="I29" s="11" t="s">
        <v>36</v>
      </c>
      <c r="J29" s="19"/>
    </row>
    <row r="30" spans="1:10" x14ac:dyDescent="0.25">
      <c r="A30" s="23" t="s">
        <v>43</v>
      </c>
      <c r="B30" s="31">
        <f>B53*B28</f>
        <v>5243160</v>
      </c>
      <c r="C30" s="11" t="s">
        <v>6</v>
      </c>
      <c r="D30" s="19"/>
      <c r="G30" s="23" t="s">
        <v>222</v>
      </c>
      <c r="H30" s="32">
        <f>B30/MassFlow!B5</f>
        <v>0.156</v>
      </c>
      <c r="I30" s="11" t="s">
        <v>36</v>
      </c>
      <c r="J30" s="19"/>
    </row>
    <row r="31" spans="1:10" x14ac:dyDescent="0.25">
      <c r="A31" s="44"/>
      <c r="B31" s="43"/>
      <c r="C31" s="44"/>
      <c r="D31" s="19"/>
      <c r="G31" s="44"/>
      <c r="H31" s="43"/>
      <c r="I31" s="44"/>
      <c r="J31" s="19"/>
    </row>
    <row r="32" spans="1:10" x14ac:dyDescent="0.25">
      <c r="A32" s="18" t="s">
        <v>216</v>
      </c>
      <c r="B32" s="12"/>
      <c r="C32" s="12"/>
      <c r="D32" s="20"/>
      <c r="G32" s="18" t="s">
        <v>217</v>
      </c>
      <c r="H32" s="12"/>
      <c r="I32" s="12"/>
      <c r="J32" s="20"/>
    </row>
    <row r="33" spans="1:10" x14ac:dyDescent="0.25">
      <c r="A33" s="49" t="s">
        <v>29</v>
      </c>
      <c r="B33" s="48" t="s">
        <v>0</v>
      </c>
      <c r="C33" s="48" t="s">
        <v>1</v>
      </c>
      <c r="D33" s="19"/>
      <c r="G33" s="49" t="s">
        <v>29</v>
      </c>
      <c r="H33" s="48" t="s">
        <v>0</v>
      </c>
      <c r="I33" s="48" t="s">
        <v>1</v>
      </c>
      <c r="J33" s="19"/>
    </row>
    <row r="34" spans="1:10" x14ac:dyDescent="0.25">
      <c r="A34" s="11" t="s">
        <v>210</v>
      </c>
      <c r="B34" s="24">
        <f>B55*B28/1000</f>
        <v>2909953.8</v>
      </c>
      <c r="C34" s="23" t="s">
        <v>31</v>
      </c>
      <c r="G34" s="11" t="s">
        <v>69</v>
      </c>
      <c r="H34" s="32">
        <f>B34/MassFlow!B5</f>
        <v>8.657999999999999E-2</v>
      </c>
      <c r="I34" s="23" t="s">
        <v>10</v>
      </c>
    </row>
    <row r="35" spans="1:10" x14ac:dyDescent="0.25">
      <c r="A35" s="11" t="s">
        <v>211</v>
      </c>
      <c r="B35" s="24">
        <f>B54*B28/1000</f>
        <v>1848886.1</v>
      </c>
      <c r="C35" s="23" t="s">
        <v>31</v>
      </c>
      <c r="G35" s="11" t="s">
        <v>88</v>
      </c>
      <c r="H35" s="32">
        <f>B35/MassFlow!B5</f>
        <v>5.5010000000000003E-2</v>
      </c>
      <c r="I35" s="23" t="s">
        <v>10</v>
      </c>
    </row>
    <row r="36" spans="1:10" x14ac:dyDescent="0.25">
      <c r="A36" s="23" t="s">
        <v>122</v>
      </c>
      <c r="B36" s="24">
        <f>B34</f>
        <v>2909953.8</v>
      </c>
      <c r="C36" s="23" t="s">
        <v>31</v>
      </c>
      <c r="G36" s="23" t="s">
        <v>122</v>
      </c>
      <c r="H36" s="70">
        <f>H34</f>
        <v>8.657999999999999E-2</v>
      </c>
      <c r="I36" s="23" t="s">
        <v>10</v>
      </c>
    </row>
    <row r="37" spans="1:10" x14ac:dyDescent="0.25">
      <c r="A37" s="50" t="s">
        <v>123</v>
      </c>
      <c r="B37" s="51">
        <f>B35</f>
        <v>1848886.1</v>
      </c>
      <c r="C37" s="50" t="s">
        <v>31</v>
      </c>
      <c r="G37" s="50" t="s">
        <v>123</v>
      </c>
      <c r="H37" s="71">
        <f>H35</f>
        <v>5.5010000000000003E-2</v>
      </c>
      <c r="I37" s="50" t="s">
        <v>10</v>
      </c>
    </row>
    <row r="38" spans="1:10" x14ac:dyDescent="0.25">
      <c r="A38" s="52" t="s">
        <v>124</v>
      </c>
      <c r="B38" s="53">
        <f>B36+B37</f>
        <v>4758839.9000000004</v>
      </c>
      <c r="C38" s="52" t="s">
        <v>31</v>
      </c>
      <c r="G38" s="52" t="s">
        <v>124</v>
      </c>
      <c r="H38" s="72">
        <f>SUM(H36:H37)</f>
        <v>0.14158999999999999</v>
      </c>
      <c r="I38" s="52" t="s">
        <v>10</v>
      </c>
    </row>
    <row r="39" spans="1:10" x14ac:dyDescent="0.25">
      <c r="A39" s="49" t="s">
        <v>288</v>
      </c>
      <c r="B39" s="48" t="s">
        <v>0</v>
      </c>
      <c r="C39" s="48" t="s">
        <v>1</v>
      </c>
      <c r="D39" s="19"/>
      <c r="G39" s="49" t="s">
        <v>288</v>
      </c>
      <c r="H39" s="48" t="s">
        <v>0</v>
      </c>
      <c r="I39" s="48" t="s">
        <v>1</v>
      </c>
      <c r="J39" s="19"/>
    </row>
    <row r="40" spans="1:10" x14ac:dyDescent="0.25">
      <c r="A40" s="11" t="s">
        <v>286</v>
      </c>
      <c r="B40" s="24">
        <f>B29*B58</f>
        <v>64423648</v>
      </c>
      <c r="C40" s="23" t="s">
        <v>31</v>
      </c>
      <c r="G40" s="11" t="s">
        <v>286</v>
      </c>
      <c r="H40" s="32">
        <f>B40/MassFlow!B5</f>
        <v>1.9168000000000001</v>
      </c>
      <c r="I40" s="23" t="s">
        <v>10</v>
      </c>
    </row>
    <row r="41" spans="1:10" x14ac:dyDescent="0.25">
      <c r="A41" s="54"/>
      <c r="B41" s="55"/>
      <c r="C41" s="54"/>
      <c r="G41" s="54"/>
      <c r="H41" s="78"/>
      <c r="I41" s="54"/>
    </row>
    <row r="42" spans="1:10" x14ac:dyDescent="0.25">
      <c r="A42" s="54"/>
      <c r="B42" s="55"/>
      <c r="C42" s="54"/>
    </row>
    <row r="43" spans="1:10" x14ac:dyDescent="0.25">
      <c r="A43" s="33" t="s">
        <v>68</v>
      </c>
      <c r="B43" s="34"/>
      <c r="C43" s="34"/>
      <c r="D43" s="34"/>
    </row>
    <row r="44" spans="1:10" x14ac:dyDescent="0.25">
      <c r="A44" s="14" t="s">
        <v>200</v>
      </c>
      <c r="B44" s="14" t="s">
        <v>0</v>
      </c>
      <c r="C44" s="14" t="s">
        <v>1</v>
      </c>
      <c r="D44" s="14" t="s">
        <v>50</v>
      </c>
    </row>
    <row r="45" spans="1:10" x14ac:dyDescent="0.25">
      <c r="A45" s="11" t="s">
        <v>203</v>
      </c>
      <c r="B45" s="11">
        <v>2.96</v>
      </c>
      <c r="C45" s="11" t="s">
        <v>209</v>
      </c>
      <c r="D45" s="11" t="s">
        <v>331</v>
      </c>
    </row>
    <row r="46" spans="1:10" x14ac:dyDescent="0.25">
      <c r="A46" s="11" t="s">
        <v>39</v>
      </c>
      <c r="B46" s="11">
        <v>2547</v>
      </c>
      <c r="C46" s="11" t="s">
        <v>209</v>
      </c>
      <c r="D46" s="11" t="s">
        <v>331</v>
      </c>
    </row>
    <row r="47" spans="1:10" x14ac:dyDescent="0.25">
      <c r="A47" s="11" t="s">
        <v>211</v>
      </c>
      <c r="B47" s="11">
        <v>1040.4000000000001</v>
      </c>
      <c r="C47" s="11" t="s">
        <v>213</v>
      </c>
      <c r="D47" s="11" t="s">
        <v>331</v>
      </c>
    </row>
    <row r="48" spans="1:10" x14ac:dyDescent="0.25">
      <c r="A48" s="11" t="s">
        <v>212</v>
      </c>
      <c r="B48" s="11">
        <v>6291.6</v>
      </c>
      <c r="C48" s="11" t="s">
        <v>213</v>
      </c>
      <c r="D48" s="11" t="s">
        <v>331</v>
      </c>
    </row>
    <row r="49" spans="1:4" x14ac:dyDescent="0.25">
      <c r="A49" s="57"/>
      <c r="B49" s="58"/>
      <c r="C49" s="58"/>
      <c r="D49" s="58"/>
    </row>
    <row r="50" spans="1:4" x14ac:dyDescent="0.25">
      <c r="A50" s="14" t="s">
        <v>201</v>
      </c>
      <c r="B50" s="14" t="s">
        <v>0</v>
      </c>
      <c r="C50" s="14" t="s">
        <v>1</v>
      </c>
      <c r="D50" s="14" t="s">
        <v>50</v>
      </c>
    </row>
    <row r="51" spans="1:4" x14ac:dyDescent="0.25">
      <c r="A51" s="11" t="s">
        <v>52</v>
      </c>
      <c r="B51" s="11">
        <v>9.2200000000000004E-2</v>
      </c>
      <c r="C51" s="11" t="s">
        <v>218</v>
      </c>
      <c r="D51" s="11" t="s">
        <v>331</v>
      </c>
    </row>
    <row r="52" spans="1:4" x14ac:dyDescent="0.25">
      <c r="A52" s="11" t="s">
        <v>286</v>
      </c>
      <c r="B52" s="11">
        <v>0.1198</v>
      </c>
      <c r="C52" s="11" t="s">
        <v>218</v>
      </c>
      <c r="D52" s="11" t="s">
        <v>331</v>
      </c>
    </row>
    <row r="53" spans="1:4" x14ac:dyDescent="0.25">
      <c r="A53" s="11" t="s">
        <v>222</v>
      </c>
      <c r="B53" s="11">
        <v>0.156</v>
      </c>
      <c r="C53" s="11" t="s">
        <v>218</v>
      </c>
      <c r="D53" s="11" t="s">
        <v>331</v>
      </c>
    </row>
    <row r="54" spans="1:4" x14ac:dyDescent="0.25">
      <c r="A54" s="11" t="s">
        <v>219</v>
      </c>
      <c r="B54" s="11">
        <v>55.01</v>
      </c>
      <c r="C54" s="11" t="s">
        <v>221</v>
      </c>
      <c r="D54" s="11" t="s">
        <v>331</v>
      </c>
    </row>
    <row r="55" spans="1:4" x14ac:dyDescent="0.25">
      <c r="A55" s="11" t="s">
        <v>220</v>
      </c>
      <c r="B55" s="11">
        <v>86.58</v>
      </c>
      <c r="C55" s="11" t="s">
        <v>221</v>
      </c>
      <c r="D55" s="11" t="s">
        <v>331</v>
      </c>
    </row>
    <row r="56" spans="1:4" x14ac:dyDescent="0.25">
      <c r="A56" s="44"/>
      <c r="B56" s="44"/>
      <c r="C56" s="44"/>
      <c r="D56" s="44"/>
    </row>
    <row r="57" spans="1:4" x14ac:dyDescent="0.25">
      <c r="A57" s="14" t="s">
        <v>287</v>
      </c>
      <c r="B57" s="14" t="s">
        <v>0</v>
      </c>
      <c r="C57" s="14" t="s">
        <v>1</v>
      </c>
      <c r="D57" s="14" t="s">
        <v>50</v>
      </c>
    </row>
    <row r="58" spans="1:4" x14ac:dyDescent="0.25">
      <c r="A58" s="11" t="s">
        <v>367</v>
      </c>
      <c r="B58" s="11">
        <v>16</v>
      </c>
      <c r="C58" s="11" t="s">
        <v>285</v>
      </c>
      <c r="D58" s="11"/>
    </row>
    <row r="59" spans="1:4" x14ac:dyDescent="0.25">
      <c r="A59" s="44"/>
      <c r="B59" s="44"/>
      <c r="C59" s="44"/>
      <c r="D59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zoomScaleNormal="100" workbookViewId="0">
      <pane ySplit="1" topLeftCell="A4" activePane="bottomLeft" state="frozenSplit"/>
      <selection pane="bottomLeft" activeCell="F61" sqref="F61"/>
    </sheetView>
  </sheetViews>
  <sheetFormatPr defaultColWidth="9.109375" defaultRowHeight="13.8" x14ac:dyDescent="0.25"/>
  <cols>
    <col min="1" max="1" width="45.6640625" style="13" customWidth="1"/>
    <col min="2" max="2" width="17.109375" style="13" customWidth="1"/>
    <col min="3" max="3" width="26.109375" style="13" customWidth="1"/>
    <col min="4" max="4" width="20.33203125" style="13" customWidth="1"/>
    <col min="5" max="6" width="9.109375" style="13"/>
    <col min="7" max="7" width="46.33203125" style="13" customWidth="1"/>
    <col min="8" max="8" width="21.33203125" style="13" customWidth="1"/>
    <col min="9" max="9" width="17" style="13" customWidth="1"/>
    <col min="10" max="16384" width="9.109375" style="13"/>
  </cols>
  <sheetData>
    <row r="1" spans="1:10" s="42" customFormat="1" ht="17.399999999999999" x14ac:dyDescent="0.3">
      <c r="A1" s="41" t="s">
        <v>247</v>
      </c>
    </row>
    <row r="2" spans="1:10" x14ac:dyDescent="0.25">
      <c r="D2" s="19"/>
    </row>
    <row r="3" spans="1:10" x14ac:dyDescent="0.25">
      <c r="A3" s="18" t="s">
        <v>223</v>
      </c>
      <c r="B3" s="12"/>
      <c r="C3" s="12"/>
      <c r="D3" s="20"/>
      <c r="G3" s="18" t="s">
        <v>224</v>
      </c>
      <c r="H3" s="12"/>
      <c r="I3" s="12"/>
      <c r="J3" s="20"/>
    </row>
    <row r="4" spans="1:10" x14ac:dyDescent="0.25">
      <c r="A4" s="48" t="s">
        <v>28</v>
      </c>
      <c r="B4" s="48" t="s">
        <v>0</v>
      </c>
      <c r="C4" s="48" t="s">
        <v>1</v>
      </c>
      <c r="D4" s="19"/>
      <c r="G4" s="48" t="s">
        <v>28</v>
      </c>
      <c r="H4" s="48" t="s">
        <v>0</v>
      </c>
      <c r="I4" s="48" t="s">
        <v>1</v>
      </c>
      <c r="J4" s="19"/>
    </row>
    <row r="5" spans="1:10" x14ac:dyDescent="0.25">
      <c r="A5" s="11" t="s">
        <v>231</v>
      </c>
      <c r="B5" s="31">
        <f>FungalLipidFermentation!B9+LipidExtractTransesterification!B11+LipidExtractTransesterification!B30</f>
        <v>4361089700.0103445</v>
      </c>
      <c r="C5" s="11" t="s">
        <v>6</v>
      </c>
      <c r="D5" s="19"/>
      <c r="G5" s="11" t="s">
        <v>232</v>
      </c>
      <c r="H5" s="32">
        <f>B5/MassFlow!B5</f>
        <v>129.75571853645775</v>
      </c>
      <c r="I5" s="11" t="s">
        <v>36</v>
      </c>
      <c r="J5" s="19"/>
    </row>
    <row r="6" spans="1:10" x14ac:dyDescent="0.25">
      <c r="A6" s="48" t="s">
        <v>35</v>
      </c>
      <c r="B6" s="48" t="s">
        <v>0</v>
      </c>
      <c r="C6" s="48" t="s">
        <v>1</v>
      </c>
      <c r="D6" s="19"/>
      <c r="G6" s="48" t="s">
        <v>35</v>
      </c>
      <c r="H6" s="48" t="s">
        <v>0</v>
      </c>
      <c r="I6" s="48" t="s">
        <v>1</v>
      </c>
      <c r="J6" s="19"/>
    </row>
    <row r="7" spans="1:10" x14ac:dyDescent="0.25">
      <c r="A7" s="23" t="s">
        <v>233</v>
      </c>
      <c r="B7" s="31">
        <f>B5-B8-B9</f>
        <v>4274663368.77142</v>
      </c>
      <c r="C7" s="11" t="s">
        <v>6</v>
      </c>
      <c r="D7" s="19"/>
      <c r="G7" s="23" t="s">
        <v>233</v>
      </c>
      <c r="H7" s="32">
        <f>B7/MassFlow!B5</f>
        <v>127.18427160878964</v>
      </c>
      <c r="I7" s="11" t="s">
        <v>36</v>
      </c>
      <c r="J7" s="19"/>
    </row>
    <row r="8" spans="1:10" x14ac:dyDescent="0.25">
      <c r="A8" s="23" t="s">
        <v>45</v>
      </c>
      <c r="B8" s="31">
        <f>B57*B58/100*B59*B5/1000</f>
        <v>30702071.488072827</v>
      </c>
      <c r="C8" s="11" t="s">
        <v>6</v>
      </c>
      <c r="D8" s="19"/>
      <c r="G8" s="23" t="s">
        <v>45</v>
      </c>
      <c r="H8" s="32">
        <f>B8/MassFlow!B5</f>
        <v>0.91348025849666248</v>
      </c>
      <c r="I8" s="11" t="s">
        <v>36</v>
      </c>
      <c r="J8" s="19"/>
    </row>
    <row r="9" spans="1:10" x14ac:dyDescent="0.25">
      <c r="A9" s="23" t="s">
        <v>326</v>
      </c>
      <c r="B9" s="31">
        <f>B8/16*0.66*44</f>
        <v>55724259.75085219</v>
      </c>
      <c r="C9" s="11" t="s">
        <v>6</v>
      </c>
      <c r="D9" s="19"/>
      <c r="G9" s="23" t="s">
        <v>326</v>
      </c>
      <c r="H9" s="32">
        <f>B9/MassFlow!B6</f>
        <v>1.5911388379764326</v>
      </c>
      <c r="I9" s="11" t="s">
        <v>36</v>
      </c>
      <c r="J9" s="19"/>
    </row>
    <row r="10" spans="1:10" x14ac:dyDescent="0.25">
      <c r="A10" s="44"/>
      <c r="B10" s="43"/>
      <c r="C10" s="44"/>
      <c r="D10" s="19"/>
      <c r="G10" s="44"/>
      <c r="H10" s="43"/>
      <c r="I10" s="44"/>
      <c r="J10" s="19"/>
    </row>
    <row r="11" spans="1:10" x14ac:dyDescent="0.25">
      <c r="A11" s="18" t="s">
        <v>225</v>
      </c>
      <c r="B11" s="12"/>
      <c r="C11" s="12"/>
      <c r="D11" s="20"/>
      <c r="G11" s="18" t="s">
        <v>226</v>
      </c>
      <c r="H11" s="12"/>
      <c r="I11" s="12"/>
      <c r="J11" s="20"/>
    </row>
    <row r="12" spans="1:10" x14ac:dyDescent="0.25">
      <c r="A12" s="49" t="s">
        <v>29</v>
      </c>
      <c r="B12" s="48" t="s">
        <v>0</v>
      </c>
      <c r="C12" s="48" t="s">
        <v>1</v>
      </c>
      <c r="D12" s="19"/>
      <c r="G12" s="49" t="s">
        <v>29</v>
      </c>
      <c r="H12" s="48" t="s">
        <v>0</v>
      </c>
      <c r="I12" s="48" t="s">
        <v>1</v>
      </c>
      <c r="J12" s="19"/>
    </row>
    <row r="13" spans="1:10" x14ac:dyDescent="0.25">
      <c r="A13" s="11" t="s">
        <v>244</v>
      </c>
      <c r="B13" s="24">
        <f>B64*B5/1000</f>
        <v>182293549.46043238</v>
      </c>
      <c r="C13" s="23" t="s">
        <v>31</v>
      </c>
      <c r="G13" s="11" t="s">
        <v>244</v>
      </c>
      <c r="H13" s="32">
        <f>B13/MassFlow!B5</f>
        <v>5.4237890348239324</v>
      </c>
      <c r="I13" s="23" t="s">
        <v>10</v>
      </c>
    </row>
    <row r="14" spans="1:10" x14ac:dyDescent="0.25">
      <c r="A14" s="11" t="s">
        <v>245</v>
      </c>
      <c r="B14" s="24">
        <f>(B13/(1-B63/100))*B63/100</f>
        <v>3720276.519600661</v>
      </c>
      <c r="C14" s="23" t="s">
        <v>31</v>
      </c>
      <c r="G14" s="11" t="s">
        <v>245</v>
      </c>
      <c r="H14" s="32">
        <f>B14/MassFlow!B5</f>
        <v>0.11068957213926393</v>
      </c>
      <c r="I14" s="23" t="s">
        <v>10</v>
      </c>
    </row>
    <row r="15" spans="1:10" x14ac:dyDescent="0.25">
      <c r="A15" s="23" t="s">
        <v>122</v>
      </c>
      <c r="B15" s="24">
        <f>B13</f>
        <v>182293549.46043238</v>
      </c>
      <c r="C15" s="23" t="s">
        <v>31</v>
      </c>
      <c r="G15" s="23" t="s">
        <v>122</v>
      </c>
      <c r="H15" s="70">
        <f>H13</f>
        <v>5.4237890348239324</v>
      </c>
      <c r="I15" s="23" t="s">
        <v>10</v>
      </c>
    </row>
    <row r="16" spans="1:10" x14ac:dyDescent="0.25">
      <c r="A16" s="50" t="s">
        <v>123</v>
      </c>
      <c r="B16" s="51">
        <f>B14</f>
        <v>3720276.519600661</v>
      </c>
      <c r="C16" s="50" t="s">
        <v>31</v>
      </c>
      <c r="G16" s="50" t="s">
        <v>123</v>
      </c>
      <c r="H16" s="71">
        <f>H14</f>
        <v>0.11068957213926393</v>
      </c>
      <c r="I16" s="50" t="s">
        <v>10</v>
      </c>
    </row>
    <row r="17" spans="1:10" x14ac:dyDescent="0.25">
      <c r="A17" s="52" t="s">
        <v>124</v>
      </c>
      <c r="B17" s="53">
        <f>B15+B16</f>
        <v>186013825.98003304</v>
      </c>
      <c r="C17" s="52" t="s">
        <v>31</v>
      </c>
      <c r="G17" s="52" t="s">
        <v>124</v>
      </c>
      <c r="H17" s="72">
        <f>SUM(H15:H16)</f>
        <v>5.5344786069631962</v>
      </c>
      <c r="I17" s="52" t="s">
        <v>10</v>
      </c>
    </row>
    <row r="18" spans="1:10" x14ac:dyDescent="0.25">
      <c r="A18" s="49" t="s">
        <v>288</v>
      </c>
      <c r="B18" s="48" t="s">
        <v>0</v>
      </c>
      <c r="C18" s="48" t="s">
        <v>1</v>
      </c>
      <c r="D18" s="19"/>
      <c r="G18" s="49" t="s">
        <v>288</v>
      </c>
      <c r="H18" s="48" t="s">
        <v>0</v>
      </c>
      <c r="I18" s="48" t="s">
        <v>1</v>
      </c>
      <c r="J18" s="19"/>
    </row>
    <row r="19" spans="1:10" x14ac:dyDescent="0.25">
      <c r="A19" s="11" t="s">
        <v>249</v>
      </c>
      <c r="B19" s="24">
        <f>B8*B60</f>
        <v>1535103574.4036415</v>
      </c>
      <c r="C19" s="23" t="s">
        <v>31</v>
      </c>
      <c r="G19" s="11" t="s">
        <v>249</v>
      </c>
      <c r="H19" s="81">
        <f>B19/MassFlow!B5</f>
        <v>45.674012924833129</v>
      </c>
      <c r="I19" s="23" t="s">
        <v>10</v>
      </c>
    </row>
    <row r="20" spans="1:10" x14ac:dyDescent="0.25">
      <c r="A20" s="44"/>
      <c r="B20" s="79"/>
      <c r="C20" s="26"/>
      <c r="G20" s="44"/>
      <c r="H20" s="80"/>
      <c r="I20" s="26"/>
    </row>
    <row r="22" spans="1:10" x14ac:dyDescent="0.25">
      <c r="A22" s="18" t="s">
        <v>227</v>
      </c>
      <c r="B22" s="12"/>
      <c r="C22" s="12"/>
      <c r="D22" s="20"/>
      <c r="G22" s="18" t="s">
        <v>228</v>
      </c>
      <c r="H22" s="12"/>
      <c r="I22" s="12"/>
      <c r="J22" s="20"/>
    </row>
    <row r="23" spans="1:10" x14ac:dyDescent="0.25">
      <c r="A23" s="48" t="s">
        <v>28</v>
      </c>
      <c r="B23" s="48" t="s">
        <v>0</v>
      </c>
      <c r="C23" s="48" t="s">
        <v>1</v>
      </c>
      <c r="D23" s="19"/>
      <c r="G23" s="48" t="s">
        <v>28</v>
      </c>
      <c r="H23" s="48" t="s">
        <v>0</v>
      </c>
      <c r="I23" s="48" t="s">
        <v>1</v>
      </c>
      <c r="J23" s="19"/>
    </row>
    <row r="24" spans="1:10" x14ac:dyDescent="0.25">
      <c r="A24" s="11" t="s">
        <v>233</v>
      </c>
      <c r="B24" s="31">
        <f>B7</f>
        <v>4274663368.77142</v>
      </c>
      <c r="C24" s="11" t="s">
        <v>6</v>
      </c>
      <c r="D24" s="19"/>
      <c r="G24" s="11" t="s">
        <v>233</v>
      </c>
      <c r="H24" s="32">
        <f>B24/MassFlow!B5</f>
        <v>127.18427160878964</v>
      </c>
      <c r="I24" s="11" t="s">
        <v>36</v>
      </c>
      <c r="J24" s="19"/>
    </row>
    <row r="25" spans="1:10" x14ac:dyDescent="0.25">
      <c r="A25" s="48" t="s">
        <v>35</v>
      </c>
      <c r="B25" s="48" t="s">
        <v>0</v>
      </c>
      <c r="C25" s="48" t="s">
        <v>1</v>
      </c>
      <c r="D25" s="19"/>
      <c r="G25" s="48" t="s">
        <v>35</v>
      </c>
      <c r="H25" s="48" t="s">
        <v>0</v>
      </c>
      <c r="I25" s="48" t="s">
        <v>1</v>
      </c>
      <c r="J25" s="19"/>
    </row>
    <row r="26" spans="1:10" x14ac:dyDescent="0.25">
      <c r="A26" s="23" t="s">
        <v>246</v>
      </c>
      <c r="B26" s="31">
        <f>B24*B68/100</f>
        <v>3847197031.894278</v>
      </c>
      <c r="C26" s="11" t="s">
        <v>6</v>
      </c>
      <c r="D26" s="19"/>
      <c r="G26" s="23" t="s">
        <v>246</v>
      </c>
      <c r="H26" s="32">
        <f>B26/MassFlow!B5</f>
        <v>114.46584444791068</v>
      </c>
      <c r="I26" s="11" t="s">
        <v>36</v>
      </c>
      <c r="J26" s="19"/>
    </row>
    <row r="27" spans="1:10" x14ac:dyDescent="0.25">
      <c r="A27" s="44"/>
      <c r="B27" s="43"/>
      <c r="C27" s="44"/>
      <c r="D27" s="19"/>
      <c r="G27" s="44"/>
      <c r="H27" s="43"/>
      <c r="I27" s="44"/>
      <c r="J27" s="19"/>
    </row>
    <row r="28" spans="1:10" x14ac:dyDescent="0.25">
      <c r="A28" s="18" t="s">
        <v>229</v>
      </c>
      <c r="B28" s="12"/>
      <c r="C28" s="12"/>
      <c r="D28" s="20"/>
      <c r="G28" s="18" t="s">
        <v>230</v>
      </c>
      <c r="H28" s="12"/>
      <c r="I28" s="12"/>
      <c r="J28" s="20"/>
    </row>
    <row r="29" spans="1:10" x14ac:dyDescent="0.25">
      <c r="A29" s="49" t="s">
        <v>29</v>
      </c>
      <c r="B29" s="48" t="s">
        <v>0</v>
      </c>
      <c r="C29" s="48" t="s">
        <v>1</v>
      </c>
      <c r="D29" s="19"/>
      <c r="G29" s="49" t="s">
        <v>29</v>
      </c>
      <c r="H29" s="48" t="s">
        <v>0</v>
      </c>
      <c r="I29" s="48" t="s">
        <v>1</v>
      </c>
      <c r="J29" s="19"/>
    </row>
    <row r="30" spans="1:10" x14ac:dyDescent="0.25">
      <c r="A30" s="11" t="s">
        <v>211</v>
      </c>
      <c r="B30" s="24">
        <f>B24*B67/1000/1000</f>
        <v>4877390.9037681902</v>
      </c>
      <c r="C30" s="23" t="s">
        <v>31</v>
      </c>
      <c r="G30" s="11" t="s">
        <v>88</v>
      </c>
      <c r="H30" s="32">
        <f>B30/MassFlow!B5</f>
        <v>0.14511725390562899</v>
      </c>
      <c r="I30" s="23" t="s">
        <v>10</v>
      </c>
    </row>
    <row r="31" spans="1:10" x14ac:dyDescent="0.25">
      <c r="A31" s="50" t="s">
        <v>123</v>
      </c>
      <c r="B31" s="51">
        <f>B30</f>
        <v>4877390.9037681902</v>
      </c>
      <c r="C31" s="50" t="s">
        <v>31</v>
      </c>
      <c r="G31" s="50" t="s">
        <v>123</v>
      </c>
      <c r="H31" s="71">
        <f>H30</f>
        <v>0.14511725390562899</v>
      </c>
      <c r="I31" s="50" t="s">
        <v>10</v>
      </c>
    </row>
    <row r="32" spans="1:10" x14ac:dyDescent="0.25">
      <c r="A32" s="52" t="s">
        <v>124</v>
      </c>
      <c r="B32" s="53">
        <f>B31</f>
        <v>4877390.9037681902</v>
      </c>
      <c r="C32" s="52" t="s">
        <v>31</v>
      </c>
      <c r="G32" s="52" t="s">
        <v>124</v>
      </c>
      <c r="H32" s="72">
        <f>SUM(H31:H31)</f>
        <v>0.14511725390562899</v>
      </c>
      <c r="I32" s="52" t="s">
        <v>10</v>
      </c>
    </row>
    <row r="33" spans="1:10" x14ac:dyDescent="0.25">
      <c r="A33" s="54"/>
      <c r="B33" s="55"/>
      <c r="C33" s="54"/>
      <c r="G33" s="54"/>
      <c r="H33" s="78"/>
      <c r="I33" s="54"/>
    </row>
    <row r="34" spans="1:10" x14ac:dyDescent="0.25">
      <c r="A34" s="18" t="s">
        <v>262</v>
      </c>
      <c r="B34" s="12"/>
      <c r="C34" s="12"/>
      <c r="D34" s="20"/>
      <c r="G34" s="18" t="s">
        <v>263</v>
      </c>
      <c r="H34" s="12"/>
      <c r="I34" s="12"/>
      <c r="J34" s="20"/>
    </row>
    <row r="35" spans="1:10" x14ac:dyDescent="0.25">
      <c r="A35" s="48" t="s">
        <v>28</v>
      </c>
      <c r="B35" s="48" t="s">
        <v>0</v>
      </c>
      <c r="C35" s="48" t="s">
        <v>1</v>
      </c>
      <c r="D35" s="19"/>
      <c r="G35" s="48" t="s">
        <v>28</v>
      </c>
      <c r="H35" s="48" t="s">
        <v>0</v>
      </c>
      <c r="I35" s="48" t="s">
        <v>1</v>
      </c>
      <c r="J35" s="19"/>
    </row>
    <row r="36" spans="1:10" x14ac:dyDescent="0.25">
      <c r="A36" s="11" t="s">
        <v>246</v>
      </c>
      <c r="B36" s="31">
        <f>B26</f>
        <v>3847197031.894278</v>
      </c>
      <c r="C36" s="11" t="s">
        <v>6</v>
      </c>
      <c r="D36" s="19"/>
      <c r="G36" s="11" t="s">
        <v>233</v>
      </c>
      <c r="H36" s="32">
        <f>B36/MassFlow!B5</f>
        <v>114.46584444791068</v>
      </c>
      <c r="I36" s="11" t="s">
        <v>36</v>
      </c>
      <c r="J36" s="19"/>
    </row>
    <row r="37" spans="1:10" x14ac:dyDescent="0.25">
      <c r="A37" s="48" t="s">
        <v>35</v>
      </c>
      <c r="B37" s="48" t="s">
        <v>0</v>
      </c>
      <c r="C37" s="48" t="s">
        <v>1</v>
      </c>
      <c r="D37" s="19"/>
      <c r="G37" s="48" t="s">
        <v>35</v>
      </c>
      <c r="H37" s="48" t="s">
        <v>0</v>
      </c>
      <c r="I37" s="48" t="s">
        <v>1</v>
      </c>
      <c r="J37" s="19"/>
    </row>
    <row r="38" spans="1:10" x14ac:dyDescent="0.25">
      <c r="A38" s="23" t="s">
        <v>264</v>
      </c>
      <c r="B38" s="31">
        <f>B36*B72/100</f>
        <v>3077757625.5154223</v>
      </c>
      <c r="C38" s="11" t="s">
        <v>6</v>
      </c>
      <c r="D38" s="19"/>
      <c r="G38" s="23" t="s">
        <v>246</v>
      </c>
      <c r="H38" s="32">
        <f>B38/MassFlow!B5</f>
        <v>91.572675558328541</v>
      </c>
      <c r="I38" s="11" t="s">
        <v>36</v>
      </c>
      <c r="J38" s="19"/>
    </row>
    <row r="39" spans="1:10" x14ac:dyDescent="0.25">
      <c r="A39" s="23" t="s">
        <v>327</v>
      </c>
      <c r="B39" s="31">
        <f>B36-B38</f>
        <v>769439406.37885571</v>
      </c>
      <c r="C39" s="11" t="s">
        <v>6</v>
      </c>
      <c r="D39" s="19"/>
      <c r="G39" s="23" t="s">
        <v>327</v>
      </c>
      <c r="H39" s="32">
        <f>B39/MassFlow!B5</f>
        <v>22.893168889582139</v>
      </c>
      <c r="I39" s="11" t="s">
        <v>36</v>
      </c>
      <c r="J39" s="19"/>
    </row>
    <row r="40" spans="1:10" x14ac:dyDescent="0.25">
      <c r="A40" s="44"/>
      <c r="B40" s="43"/>
      <c r="C40" s="44"/>
      <c r="D40" s="19"/>
      <c r="G40" s="44"/>
      <c r="H40" s="43"/>
      <c r="I40" s="44"/>
      <c r="J40" s="19"/>
    </row>
    <row r="41" spans="1:10" x14ac:dyDescent="0.25">
      <c r="A41" s="18" t="s">
        <v>265</v>
      </c>
      <c r="B41" s="12"/>
      <c r="C41" s="12"/>
      <c r="D41" s="20"/>
      <c r="G41" s="18" t="s">
        <v>266</v>
      </c>
      <c r="H41" s="12"/>
      <c r="I41" s="12"/>
      <c r="J41" s="20"/>
    </row>
    <row r="42" spans="1:10" x14ac:dyDescent="0.25">
      <c r="A42" s="49" t="s">
        <v>29</v>
      </c>
      <c r="B42" s="48" t="s">
        <v>0</v>
      </c>
      <c r="C42" s="48" t="s">
        <v>1</v>
      </c>
      <c r="D42" s="19"/>
      <c r="G42" s="49" t="s">
        <v>29</v>
      </c>
      <c r="H42" s="48" t="s">
        <v>0</v>
      </c>
      <c r="I42" s="48" t="s">
        <v>1</v>
      </c>
      <c r="J42" s="19"/>
    </row>
    <row r="43" spans="1:10" x14ac:dyDescent="0.25">
      <c r="A43" s="11" t="s">
        <v>211</v>
      </c>
      <c r="B43" s="24">
        <f>B71*B36/1000/1000</f>
        <v>46397196.204644985</v>
      </c>
      <c r="C43" s="23" t="s">
        <v>31</v>
      </c>
      <c r="G43" s="11" t="s">
        <v>88</v>
      </c>
      <c r="H43" s="32">
        <f>B43/MassFlow!B5</f>
        <v>1.3804580840418026</v>
      </c>
      <c r="I43" s="23" t="s">
        <v>10</v>
      </c>
    </row>
    <row r="44" spans="1:10" x14ac:dyDescent="0.25">
      <c r="A44" s="50" t="s">
        <v>123</v>
      </c>
      <c r="B44" s="51">
        <f>B43</f>
        <v>46397196.204644985</v>
      </c>
      <c r="C44" s="50" t="s">
        <v>31</v>
      </c>
      <c r="G44" s="50" t="s">
        <v>123</v>
      </c>
      <c r="H44" s="71">
        <f>H43</f>
        <v>1.3804580840418026</v>
      </c>
      <c r="I44" s="50" t="s">
        <v>10</v>
      </c>
    </row>
    <row r="45" spans="1:10" x14ac:dyDescent="0.25">
      <c r="A45" s="52" t="s">
        <v>124</v>
      </c>
      <c r="B45" s="53">
        <f>B44</f>
        <v>46397196.204644985</v>
      </c>
      <c r="C45" s="52" t="s">
        <v>31</v>
      </c>
      <c r="G45" s="52" t="s">
        <v>124</v>
      </c>
      <c r="H45" s="72">
        <f>SUM(H44:H44)</f>
        <v>1.3804580840418026</v>
      </c>
      <c r="I45" s="52" t="s">
        <v>10</v>
      </c>
    </row>
    <row r="46" spans="1:10" x14ac:dyDescent="0.25">
      <c r="A46" s="54"/>
      <c r="B46" s="55"/>
      <c r="C46" s="54"/>
      <c r="G46" s="54"/>
      <c r="H46" s="78"/>
      <c r="I46" s="54"/>
    </row>
    <row r="47" spans="1:10" x14ac:dyDescent="0.25">
      <c r="A47" s="18" t="s">
        <v>269</v>
      </c>
      <c r="B47" s="12"/>
      <c r="C47" s="12"/>
      <c r="D47" s="20"/>
      <c r="G47" s="18" t="s">
        <v>270</v>
      </c>
      <c r="H47" s="12"/>
      <c r="I47" s="12"/>
      <c r="J47" s="20"/>
    </row>
    <row r="48" spans="1:10" x14ac:dyDescent="0.25">
      <c r="A48" s="48" t="s">
        <v>28</v>
      </c>
      <c r="B48" s="48" t="s">
        <v>0</v>
      </c>
      <c r="C48" s="48" t="s">
        <v>1</v>
      </c>
      <c r="D48" s="19"/>
      <c r="G48" s="48" t="s">
        <v>28</v>
      </c>
      <c r="H48" s="48" t="s">
        <v>0</v>
      </c>
      <c r="I48" s="48" t="s">
        <v>1</v>
      </c>
      <c r="J48" s="19"/>
    </row>
    <row r="49" spans="1:10" x14ac:dyDescent="0.25">
      <c r="A49" s="11" t="s">
        <v>327</v>
      </c>
      <c r="B49" s="31">
        <f>B39</f>
        <v>769439406.37885571</v>
      </c>
      <c r="C49" s="11" t="s">
        <v>6</v>
      </c>
      <c r="D49" s="19"/>
      <c r="G49" s="11" t="s">
        <v>327</v>
      </c>
      <c r="H49" s="32">
        <f>B49/MassFlow!B5</f>
        <v>22.893168889582139</v>
      </c>
      <c r="I49" s="11" t="s">
        <v>36</v>
      </c>
      <c r="J49" s="19"/>
    </row>
    <row r="50" spans="1:10" x14ac:dyDescent="0.25">
      <c r="A50" s="11" t="s">
        <v>271</v>
      </c>
      <c r="B50" s="31">
        <f>B76*B49*B75</f>
        <v>36009764.218530446</v>
      </c>
      <c r="C50" s="11" t="s">
        <v>6</v>
      </c>
      <c r="D50" s="19"/>
      <c r="G50" s="11" t="s">
        <v>272</v>
      </c>
      <c r="H50" s="32">
        <f>B50/MassFlow!B5</f>
        <v>1.071400304032444</v>
      </c>
      <c r="I50" s="11" t="s">
        <v>36</v>
      </c>
      <c r="J50" s="19"/>
    </row>
    <row r="51" spans="1:10" x14ac:dyDescent="0.25">
      <c r="A51" s="48" t="s">
        <v>35</v>
      </c>
      <c r="B51" s="48" t="s">
        <v>0</v>
      </c>
      <c r="C51" s="48" t="s">
        <v>1</v>
      </c>
      <c r="D51" s="19"/>
      <c r="G51" s="48" t="s">
        <v>35</v>
      </c>
      <c r="H51" s="48" t="s">
        <v>0</v>
      </c>
      <c r="I51" s="48" t="s">
        <v>1</v>
      </c>
      <c r="J51" s="19"/>
    </row>
    <row r="52" spans="1:10" x14ac:dyDescent="0.25">
      <c r="A52" s="23" t="s">
        <v>328</v>
      </c>
      <c r="B52" s="31">
        <f>B49+B50-B53</f>
        <v>473051347.04172051</v>
      </c>
      <c r="C52" s="11" t="s">
        <v>6</v>
      </c>
      <c r="D52" s="19"/>
      <c r="G52" s="23" t="s">
        <v>328</v>
      </c>
      <c r="H52" s="32">
        <f>B52/MassFlow!B5</f>
        <v>14.0747202333151</v>
      </c>
      <c r="I52" s="11" t="s">
        <v>36</v>
      </c>
      <c r="J52" s="19"/>
    </row>
    <row r="53" spans="1:10" x14ac:dyDescent="0.25">
      <c r="A53" s="23" t="s">
        <v>275</v>
      </c>
      <c r="B53" s="31">
        <f>B77*B75/(B78/100)*B49</f>
        <v>332397823.55566561</v>
      </c>
      <c r="C53" s="11" t="s">
        <v>6</v>
      </c>
      <c r="D53" s="19"/>
      <c r="G53" s="23" t="s">
        <v>276</v>
      </c>
      <c r="H53" s="32">
        <f>B53/MassFlow!B5</f>
        <v>9.8898489602994832</v>
      </c>
      <c r="I53" s="11" t="s">
        <v>36</v>
      </c>
      <c r="J53" s="19"/>
    </row>
    <row r="54" spans="1:10" x14ac:dyDescent="0.25">
      <c r="A54" s="54"/>
      <c r="B54" s="55"/>
      <c r="C54" s="54"/>
    </row>
    <row r="55" spans="1:10" x14ac:dyDescent="0.25">
      <c r="A55" s="33" t="s">
        <v>68</v>
      </c>
      <c r="B55" s="34"/>
      <c r="C55" s="34"/>
      <c r="D55" s="34"/>
    </row>
    <row r="56" spans="1:10" x14ac:dyDescent="0.25">
      <c r="A56" s="14" t="s">
        <v>234</v>
      </c>
      <c r="B56" s="14" t="s">
        <v>0</v>
      </c>
      <c r="C56" s="14" t="s">
        <v>1</v>
      </c>
      <c r="D56" s="14" t="s">
        <v>50</v>
      </c>
    </row>
    <row r="57" spans="1:10" x14ac:dyDescent="0.25">
      <c r="A57" s="11" t="s">
        <v>235</v>
      </c>
      <c r="B57" s="11">
        <v>35.200000000000003</v>
      </c>
      <c r="C57" s="11" t="s">
        <v>236</v>
      </c>
      <c r="D57" s="11" t="s">
        <v>237</v>
      </c>
    </row>
    <row r="58" spans="1:10" x14ac:dyDescent="0.25">
      <c r="A58" s="11" t="s">
        <v>238</v>
      </c>
      <c r="B58" s="11">
        <v>80</v>
      </c>
      <c r="C58" s="11" t="s">
        <v>25</v>
      </c>
      <c r="D58" s="11" t="s">
        <v>60</v>
      </c>
    </row>
    <row r="59" spans="1:10" x14ac:dyDescent="0.25">
      <c r="A59" s="11" t="s">
        <v>239</v>
      </c>
      <c r="B59" s="11">
        <v>0.25</v>
      </c>
      <c r="C59" s="11" t="s">
        <v>248</v>
      </c>
      <c r="D59" s="11" t="s">
        <v>237</v>
      </c>
    </row>
    <row r="60" spans="1:10" x14ac:dyDescent="0.25">
      <c r="A60" s="11" t="s">
        <v>252</v>
      </c>
      <c r="B60" s="11">
        <v>50</v>
      </c>
      <c r="C60" s="11" t="s">
        <v>253</v>
      </c>
      <c r="D60" s="11"/>
    </row>
    <row r="61" spans="1:10" x14ac:dyDescent="0.25">
      <c r="A61" s="11" t="s">
        <v>240</v>
      </c>
      <c r="B61" s="11">
        <v>25</v>
      </c>
      <c r="C61" s="11" t="s">
        <v>34</v>
      </c>
      <c r="D61" s="11"/>
    </row>
    <row r="62" spans="1:10" x14ac:dyDescent="0.25">
      <c r="A62" s="11" t="s">
        <v>241</v>
      </c>
      <c r="B62" s="11">
        <v>35</v>
      </c>
      <c r="C62" s="11" t="s">
        <v>34</v>
      </c>
      <c r="D62" s="11"/>
    </row>
    <row r="63" spans="1:10" x14ac:dyDescent="0.25">
      <c r="A63" s="11" t="s">
        <v>251</v>
      </c>
      <c r="B63" s="11">
        <v>2</v>
      </c>
      <c r="C63" s="11" t="s">
        <v>242</v>
      </c>
      <c r="D63" s="11" t="s">
        <v>150</v>
      </c>
    </row>
    <row r="64" spans="1:10" x14ac:dyDescent="0.25">
      <c r="A64" s="11" t="s">
        <v>250</v>
      </c>
      <c r="B64" s="11">
        <f>4.18*(B62-B61)</f>
        <v>41.8</v>
      </c>
      <c r="C64" s="11" t="s">
        <v>243</v>
      </c>
      <c r="D64" s="11"/>
    </row>
    <row r="65" spans="1:4" x14ac:dyDescent="0.25">
      <c r="A65" s="57"/>
      <c r="B65" s="58"/>
      <c r="C65" s="58"/>
      <c r="D65" s="58"/>
    </row>
    <row r="66" spans="1:4" x14ac:dyDescent="0.25">
      <c r="A66" s="14" t="s">
        <v>254</v>
      </c>
      <c r="B66" s="14" t="s">
        <v>0</v>
      </c>
      <c r="C66" s="14" t="s">
        <v>1</v>
      </c>
      <c r="D66" s="14" t="s">
        <v>50</v>
      </c>
    </row>
    <row r="67" spans="1:4" x14ac:dyDescent="0.25">
      <c r="A67" s="11" t="s">
        <v>258</v>
      </c>
      <c r="B67" s="11">
        <v>1141</v>
      </c>
      <c r="C67" s="11" t="s">
        <v>256</v>
      </c>
      <c r="D67" s="11" t="s">
        <v>255</v>
      </c>
    </row>
    <row r="68" spans="1:4" x14ac:dyDescent="0.25">
      <c r="A68" s="11" t="s">
        <v>257</v>
      </c>
      <c r="B68" s="11">
        <v>90</v>
      </c>
      <c r="C68" s="11" t="s">
        <v>25</v>
      </c>
      <c r="D68" s="11"/>
    </row>
    <row r="70" spans="1:4" x14ac:dyDescent="0.25">
      <c r="A70" s="14" t="s">
        <v>259</v>
      </c>
      <c r="B70" s="14" t="s">
        <v>0</v>
      </c>
      <c r="C70" s="14" t="s">
        <v>1</v>
      </c>
      <c r="D70" s="14" t="s">
        <v>50</v>
      </c>
    </row>
    <row r="71" spans="1:4" x14ac:dyDescent="0.25">
      <c r="A71" s="11" t="s">
        <v>260</v>
      </c>
      <c r="B71" s="11">
        <v>12060</v>
      </c>
      <c r="C71" s="11" t="s">
        <v>333</v>
      </c>
      <c r="D71" s="11" t="s">
        <v>267</v>
      </c>
    </row>
    <row r="72" spans="1:4" x14ac:dyDescent="0.25">
      <c r="A72" s="11" t="s">
        <v>257</v>
      </c>
      <c r="B72" s="11">
        <v>80</v>
      </c>
      <c r="C72" s="11" t="s">
        <v>25</v>
      </c>
      <c r="D72" s="11" t="s">
        <v>267</v>
      </c>
    </row>
    <row r="74" spans="1:4" x14ac:dyDescent="0.25">
      <c r="A74" s="14" t="s">
        <v>261</v>
      </c>
      <c r="B74" s="14" t="s">
        <v>0</v>
      </c>
      <c r="C74" s="14" t="s">
        <v>1</v>
      </c>
      <c r="D74" s="14" t="s">
        <v>50</v>
      </c>
    </row>
    <row r="75" spans="1:4" x14ac:dyDescent="0.25">
      <c r="A75" s="95" t="s">
        <v>322</v>
      </c>
      <c r="B75" s="95">
        <v>0.09</v>
      </c>
      <c r="C75" s="95" t="s">
        <v>268</v>
      </c>
      <c r="D75" s="95"/>
    </row>
    <row r="76" spans="1:4" x14ac:dyDescent="0.25">
      <c r="A76" s="11" t="s">
        <v>283</v>
      </c>
      <c r="B76" s="11">
        <v>0.52</v>
      </c>
      <c r="C76" s="11" t="s">
        <v>321</v>
      </c>
      <c r="D76" s="11" t="s">
        <v>267</v>
      </c>
    </row>
    <row r="77" spans="1:4" x14ac:dyDescent="0.25">
      <c r="A77" s="11" t="s">
        <v>273</v>
      </c>
      <c r="B77" s="11">
        <v>0.96</v>
      </c>
      <c r="C77" s="11" t="s">
        <v>321</v>
      </c>
      <c r="D77" s="11"/>
    </row>
    <row r="78" spans="1:4" x14ac:dyDescent="0.25">
      <c r="A78" s="11" t="s">
        <v>274</v>
      </c>
      <c r="B78" s="11">
        <v>20</v>
      </c>
      <c r="C78" s="11" t="s">
        <v>25</v>
      </c>
      <c r="D78" s="1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topLeftCell="A7" workbookViewId="0">
      <selection activeCell="D32" sqref="D32"/>
    </sheetView>
  </sheetViews>
  <sheetFormatPr defaultColWidth="9.109375" defaultRowHeight="13.8" x14ac:dyDescent="0.25"/>
  <cols>
    <col min="1" max="1" width="51.33203125" style="13" customWidth="1"/>
    <col min="2" max="2" width="15.88671875" style="13" customWidth="1"/>
    <col min="3" max="3" width="15.109375" style="13" customWidth="1"/>
    <col min="4" max="16384" width="9.109375" style="13"/>
  </cols>
  <sheetData>
    <row r="1" spans="1:3" s="84" customFormat="1" x14ac:dyDescent="0.25">
      <c r="A1" s="85" t="s">
        <v>281</v>
      </c>
    </row>
    <row r="2" spans="1:3" x14ac:dyDescent="0.25">
      <c r="A2" s="86"/>
      <c r="B2" s="87" t="s">
        <v>11</v>
      </c>
      <c r="C2" s="87" t="s">
        <v>368</v>
      </c>
    </row>
    <row r="3" spans="1:3" x14ac:dyDescent="0.25">
      <c r="A3" s="48" t="s">
        <v>89</v>
      </c>
      <c r="B3" s="48"/>
      <c r="C3" s="48"/>
    </row>
    <row r="4" spans="1:3" x14ac:dyDescent="0.25">
      <c r="A4" s="11" t="s">
        <v>92</v>
      </c>
      <c r="B4" s="88">
        <f>'Collection&amp;Transportation'!H22</f>
        <v>12.031014204134436</v>
      </c>
      <c r="C4" s="88"/>
    </row>
    <row r="5" spans="1:3" x14ac:dyDescent="0.25">
      <c r="A5" s="11" t="s">
        <v>91</v>
      </c>
      <c r="B5" s="88"/>
      <c r="C5" s="88"/>
    </row>
    <row r="6" spans="1:3" x14ac:dyDescent="0.25">
      <c r="A6" s="11" t="s">
        <v>147</v>
      </c>
      <c r="B6" s="88"/>
      <c r="C6" s="88"/>
    </row>
    <row r="7" spans="1:3" x14ac:dyDescent="0.25">
      <c r="A7" s="11" t="s">
        <v>171</v>
      </c>
      <c r="B7" s="88"/>
      <c r="C7" s="88"/>
    </row>
    <row r="8" spans="1:3" x14ac:dyDescent="0.25">
      <c r="A8" s="11" t="s">
        <v>195</v>
      </c>
      <c r="B8" s="88"/>
      <c r="C8" s="88"/>
    </row>
    <row r="9" spans="1:3" x14ac:dyDescent="0.25">
      <c r="A9" s="11" t="s">
        <v>197</v>
      </c>
      <c r="B9" s="88"/>
      <c r="C9" s="88">
        <v>37.5</v>
      </c>
    </row>
    <row r="10" spans="1:3" x14ac:dyDescent="0.25">
      <c r="A10" s="11" t="s">
        <v>247</v>
      </c>
      <c r="B10" s="88"/>
      <c r="C10" s="88"/>
    </row>
    <row r="11" spans="1:3" x14ac:dyDescent="0.25">
      <c r="A11" s="11" t="s">
        <v>282</v>
      </c>
      <c r="B11" s="88">
        <f>SUM(B4:B10)</f>
        <v>12.031014204134436</v>
      </c>
      <c r="C11" s="88">
        <f>SUM(C4:C10)</f>
        <v>37.5</v>
      </c>
    </row>
    <row r="12" spans="1:3" x14ac:dyDescent="0.25">
      <c r="B12" s="89"/>
      <c r="C12" s="89"/>
    </row>
    <row r="13" spans="1:3" x14ac:dyDescent="0.25">
      <c r="A13" s="48" t="s">
        <v>69</v>
      </c>
      <c r="B13" s="90"/>
      <c r="C13" s="90"/>
    </row>
    <row r="14" spans="1:3" x14ac:dyDescent="0.25">
      <c r="A14" s="11" t="s">
        <v>92</v>
      </c>
      <c r="B14" s="88"/>
      <c r="C14" s="88"/>
    </row>
    <row r="15" spans="1:3" x14ac:dyDescent="0.25">
      <c r="A15" s="11" t="s">
        <v>91</v>
      </c>
      <c r="B15" s="88">
        <f>'Pretreatment&amp;Hydrolysis'!H21</f>
        <v>29.092217707392617</v>
      </c>
      <c r="C15" s="88"/>
    </row>
    <row r="16" spans="1:3" x14ac:dyDescent="0.25">
      <c r="A16" s="11" t="s">
        <v>147</v>
      </c>
      <c r="B16" s="88">
        <f>LigninProcessing!H14</f>
        <v>15.356178819977218</v>
      </c>
      <c r="C16" s="88">
        <f>LigninProcessing!H18*0.75</f>
        <v>51.361042859140539</v>
      </c>
    </row>
    <row r="17" spans="1:4" x14ac:dyDescent="0.25">
      <c r="A17" s="11" t="s">
        <v>171</v>
      </c>
      <c r="B17" s="88">
        <f>FungalLipidFermentation!H18</f>
        <v>0</v>
      </c>
      <c r="C17" s="88"/>
    </row>
    <row r="18" spans="1:4" x14ac:dyDescent="0.25">
      <c r="A18" s="11" t="s">
        <v>195</v>
      </c>
      <c r="B18" s="88">
        <f>FungalBiomassDrying!H14</f>
        <v>27.313030303030303</v>
      </c>
      <c r="C18" s="88"/>
    </row>
    <row r="19" spans="1:4" x14ac:dyDescent="0.25">
      <c r="A19" s="11" t="s">
        <v>197</v>
      </c>
      <c r="B19" s="88">
        <f>LipidExtractTransesterification!H17+LipidExtractTransesterification!H36</f>
        <v>6.6424271999999993</v>
      </c>
      <c r="C19" s="88">
        <f>LipidExtractTransesterification!H40*0.75</f>
        <v>1.4376</v>
      </c>
    </row>
    <row r="20" spans="1:4" x14ac:dyDescent="0.25">
      <c r="A20" s="11" t="s">
        <v>247</v>
      </c>
      <c r="B20" s="88">
        <f>WaterTreatment!H15</f>
        <v>5.4237890348239324</v>
      </c>
      <c r="C20" s="88">
        <f>WaterTreatment!H19*0.75</f>
        <v>34.255509693624845</v>
      </c>
    </row>
    <row r="21" spans="1:4" x14ac:dyDescent="0.25">
      <c r="A21" s="11" t="s">
        <v>282</v>
      </c>
      <c r="B21" s="88">
        <f>SUM(B14:B20)</f>
        <v>83.827643065224066</v>
      </c>
      <c r="C21" s="88">
        <f>SUM(C14:C20)</f>
        <v>87.054152552765387</v>
      </c>
      <c r="D21" s="89"/>
    </row>
    <row r="22" spans="1:4" x14ac:dyDescent="0.25">
      <c r="B22" s="89"/>
      <c r="C22" s="89"/>
    </row>
    <row r="23" spans="1:4" x14ac:dyDescent="0.25">
      <c r="A23" s="48" t="s">
        <v>88</v>
      </c>
      <c r="B23" s="90"/>
      <c r="C23" s="90"/>
    </row>
    <row r="24" spans="1:4" x14ac:dyDescent="0.25">
      <c r="A24" s="11" t="s">
        <v>92</v>
      </c>
      <c r="B24" s="88"/>
      <c r="C24" s="88"/>
    </row>
    <row r="25" spans="1:4" x14ac:dyDescent="0.25">
      <c r="A25" s="11" t="s">
        <v>91</v>
      </c>
      <c r="B25" s="88">
        <f>'Pretreatment&amp;Hydrolysis'!H22</f>
        <v>7.7384291664366902</v>
      </c>
      <c r="C25" s="88"/>
    </row>
    <row r="26" spans="1:4" x14ac:dyDescent="0.25">
      <c r="A26" s="11" t="s">
        <v>147</v>
      </c>
      <c r="B26" s="88">
        <f>LigninProcessing!H15</f>
        <v>0.30712357639954441</v>
      </c>
      <c r="C26" s="88">
        <f>LigninProcessing!H18*0.2</f>
        <v>13.696278095770811</v>
      </c>
    </row>
    <row r="27" spans="1:4" x14ac:dyDescent="0.25">
      <c r="A27" s="11" t="s">
        <v>171</v>
      </c>
      <c r="B27" s="88">
        <f>FungalLipidFermentation!H19</f>
        <v>273.3260231373223</v>
      </c>
      <c r="C27" s="88"/>
    </row>
    <row r="28" spans="1:4" x14ac:dyDescent="0.25">
      <c r="A28" s="11" t="s">
        <v>195</v>
      </c>
      <c r="B28" s="88">
        <f>FungalBiomassDrying!H15</f>
        <v>0.546260606060606</v>
      </c>
      <c r="C28" s="88"/>
    </row>
    <row r="29" spans="1:4" x14ac:dyDescent="0.25">
      <c r="A29" s="11" t="s">
        <v>197</v>
      </c>
      <c r="B29" s="88">
        <f>LipidExtractTransesterification!H18+LipidExtractTransesterification!H37</f>
        <v>1.1391068</v>
      </c>
      <c r="C29" s="88">
        <f>LipidExtractTransesterification!H40*0.2</f>
        <v>0.38336000000000003</v>
      </c>
    </row>
    <row r="30" spans="1:4" x14ac:dyDescent="0.25">
      <c r="A30" s="11" t="s">
        <v>247</v>
      </c>
      <c r="B30" s="88">
        <f>WaterTreatment!H16+WaterTreatment!H31+WaterTreatment!H44</f>
        <v>1.6362649100866955</v>
      </c>
      <c r="C30" s="88">
        <f>WaterTreatment!H19*0.2</f>
        <v>9.1348025849666268</v>
      </c>
    </row>
    <row r="31" spans="1:4" x14ac:dyDescent="0.25">
      <c r="A31" s="11" t="s">
        <v>282</v>
      </c>
      <c r="B31" s="88">
        <f>SUM(B24:B30)</f>
        <v>284.69320819630582</v>
      </c>
      <c r="C31" s="88">
        <f>SUM(C24:C30)</f>
        <v>23.214440680737439</v>
      </c>
    </row>
    <row r="32" spans="1:4" x14ac:dyDescent="0.25">
      <c r="A32" s="13" t="s">
        <v>310</v>
      </c>
      <c r="B32" s="89">
        <f>B31+B21+B11</f>
        <v>380.55186546566426</v>
      </c>
      <c r="C32" s="89">
        <f>C31+C21+C11</f>
        <v>147.76859323350283</v>
      </c>
      <c r="D32" s="8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MassFlow</vt:lpstr>
      <vt:lpstr>Collection&amp;Transportation</vt:lpstr>
      <vt:lpstr>Pretreatment&amp;Hydrolysis</vt:lpstr>
      <vt:lpstr>LigninProcessing</vt:lpstr>
      <vt:lpstr>FungalLipidFermentation</vt:lpstr>
      <vt:lpstr>FungalBiomassDrying</vt:lpstr>
      <vt:lpstr>LipidExtractTransesterification</vt:lpstr>
      <vt:lpstr>WaterTreatment</vt:lpstr>
      <vt:lpstr>OverallEnergyBalance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Zanotti</dc:creator>
  <cp:lastModifiedBy>Wei Liao</cp:lastModifiedBy>
  <dcterms:created xsi:type="dcterms:W3CDTF">2013-12-28T17:19:35Z</dcterms:created>
  <dcterms:modified xsi:type="dcterms:W3CDTF">2016-04-09T02:05:55Z</dcterms:modified>
</cp:coreProperties>
</file>