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ochen\Documents\"/>
    </mc:Choice>
  </mc:AlternateContent>
  <xr:revisionPtr revIDLastSave="0" documentId="10_ncr:8100000_{36999B70-01C2-46DE-BDFC-CA678E08FFD0}" xr6:coauthVersionLast="34" xr6:coauthVersionMax="34" xr10:uidLastSave="{00000000-0000-0000-0000-000000000000}"/>
  <bookViews>
    <workbookView xWindow="0" yWindow="0" windowWidth="14380" windowHeight="4060" firstSheet="3" activeTab="12" xr2:uid="{C75014B8-CD03-426E-BCA7-A7E674653077}"/>
  </bookViews>
  <sheets>
    <sheet name="kidney index" sheetId="1" r:id="rId1"/>
    <sheet name=" spleen index" sheetId="2" r:id="rId2"/>
    <sheet name="liver index" sheetId="3" r:id="rId3"/>
    <sheet name="TC" sheetId="5" r:id="rId4"/>
    <sheet name="TG" sheetId="6" r:id="rId5"/>
    <sheet name="HDL" sheetId="7" r:id="rId6"/>
    <sheet name="LDL" sheetId="8" r:id="rId7"/>
    <sheet name="Body weight" sheetId="9" r:id="rId8"/>
    <sheet name="FBG" sheetId="10" r:id="rId9"/>
    <sheet name="SOD" sheetId="11" r:id="rId10"/>
    <sheet name="CRP" sheetId="12" r:id="rId11"/>
    <sheet name="HOMA" sheetId="4" r:id="rId12"/>
    <sheet name="inflammatory cytokines" sheetId="13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K18" i="11" l="1"/>
  <c r="I18" i="11"/>
  <c r="G18" i="11"/>
  <c r="E18" i="11"/>
  <c r="C18" i="11"/>
  <c r="K17" i="11"/>
  <c r="I17" i="11"/>
  <c r="G17" i="11"/>
  <c r="E17" i="11"/>
  <c r="C17" i="11"/>
  <c r="K16" i="11"/>
  <c r="I16" i="11"/>
  <c r="G16" i="11"/>
  <c r="E16" i="11"/>
  <c r="C16" i="11"/>
  <c r="K17" i="12" l="1"/>
  <c r="I17" i="12"/>
  <c r="G17" i="12"/>
  <c r="E17" i="12"/>
  <c r="C17" i="12"/>
  <c r="K16" i="12"/>
  <c r="I16" i="12"/>
  <c r="G16" i="12"/>
  <c r="E16" i="12"/>
  <c r="C16" i="12"/>
  <c r="G10" i="12"/>
  <c r="E10" i="12"/>
  <c r="C10" i="12"/>
  <c r="J8" i="12"/>
  <c r="H8" i="12"/>
  <c r="F8" i="12"/>
  <c r="D8" i="12"/>
  <c r="B8" i="12"/>
  <c r="O90" i="10"/>
  <c r="N90" i="10"/>
  <c r="N89" i="10"/>
  <c r="O88" i="10"/>
  <c r="N88" i="10"/>
  <c r="O87" i="10"/>
  <c r="N87" i="10"/>
  <c r="O86" i="10"/>
  <c r="N86" i="10"/>
  <c r="N84" i="10"/>
  <c r="O83" i="10"/>
  <c r="N83" i="10"/>
  <c r="N82" i="10"/>
  <c r="N81" i="10"/>
  <c r="O80" i="10"/>
  <c r="N80" i="10"/>
  <c r="O78" i="10"/>
  <c r="N78" i="10"/>
  <c r="N77" i="10"/>
  <c r="O76" i="10"/>
  <c r="N76" i="10"/>
  <c r="O75" i="10"/>
  <c r="N75" i="10"/>
  <c r="O74" i="10"/>
  <c r="N74" i="10"/>
  <c r="O72" i="10"/>
  <c r="N72" i="10"/>
  <c r="O71" i="10"/>
  <c r="N71" i="10"/>
  <c r="O70" i="10"/>
  <c r="N70" i="10"/>
  <c r="O69" i="10"/>
  <c r="N69" i="10"/>
  <c r="O68" i="10"/>
  <c r="N68" i="10"/>
  <c r="N66" i="10"/>
  <c r="O65" i="10"/>
  <c r="N65" i="10"/>
  <c r="O64" i="10"/>
  <c r="N64" i="10"/>
  <c r="O62" i="10"/>
  <c r="N62" i="10"/>
  <c r="J58" i="10"/>
  <c r="I58" i="10"/>
  <c r="J56" i="10"/>
  <c r="I56" i="10"/>
  <c r="J54" i="10"/>
  <c r="I54" i="10"/>
  <c r="J52" i="10"/>
  <c r="I52" i="10"/>
  <c r="J50" i="10"/>
  <c r="I50" i="10"/>
  <c r="J48" i="10"/>
  <c r="I48" i="10"/>
  <c r="J46" i="10"/>
  <c r="I46" i="10"/>
  <c r="J44" i="10"/>
  <c r="I44" i="10"/>
  <c r="J42" i="10"/>
  <c r="I42" i="10"/>
  <c r="L40" i="10"/>
  <c r="K40" i="10"/>
  <c r="J40" i="10"/>
  <c r="I40" i="10"/>
  <c r="J37" i="10"/>
  <c r="I37" i="10"/>
  <c r="J35" i="10"/>
  <c r="I35" i="10"/>
  <c r="J33" i="10"/>
  <c r="I33" i="10"/>
  <c r="J31" i="10"/>
  <c r="I31" i="10"/>
  <c r="J29" i="10"/>
  <c r="I29" i="10"/>
  <c r="J26" i="10"/>
  <c r="I26" i="10"/>
  <c r="J24" i="10"/>
  <c r="I24" i="10"/>
  <c r="J22" i="10"/>
  <c r="I22" i="10"/>
  <c r="J20" i="10"/>
  <c r="I20" i="10"/>
  <c r="L18" i="10"/>
  <c r="K18" i="10"/>
  <c r="J18" i="10"/>
  <c r="I18" i="10"/>
  <c r="I16" i="10"/>
  <c r="L15" i="10"/>
  <c r="K15" i="10"/>
  <c r="I15" i="10"/>
  <c r="I14" i="10"/>
  <c r="L13" i="10"/>
  <c r="K13" i="10"/>
  <c r="I13" i="10"/>
  <c r="L12" i="10"/>
  <c r="K12" i="10"/>
  <c r="I12" i="10"/>
  <c r="L11" i="10"/>
  <c r="K11" i="10"/>
  <c r="I11" i="10"/>
  <c r="I10" i="10"/>
  <c r="I9" i="10"/>
  <c r="L7" i="10"/>
  <c r="K7" i="10"/>
  <c r="I7" i="10"/>
  <c r="I6" i="10"/>
  <c r="I5" i="10"/>
  <c r="I4" i="10"/>
  <c r="I3" i="10"/>
  <c r="P148" i="9"/>
  <c r="P146" i="9"/>
  <c r="N146" i="9"/>
  <c r="N148" i="9" s="1"/>
  <c r="P144" i="9"/>
  <c r="N144" i="9"/>
  <c r="P142" i="9"/>
  <c r="N142" i="9"/>
  <c r="P140" i="9"/>
  <c r="N140" i="9"/>
  <c r="O135" i="9"/>
  <c r="N135" i="9"/>
  <c r="M135" i="9"/>
  <c r="L135" i="9"/>
  <c r="M133" i="9"/>
  <c r="L133" i="9"/>
  <c r="O131" i="9"/>
  <c r="N131" i="9"/>
  <c r="M131" i="9"/>
  <c r="L131" i="9"/>
  <c r="O129" i="9"/>
  <c r="N129" i="9"/>
  <c r="M129" i="9"/>
  <c r="L129" i="9"/>
  <c r="O128" i="9"/>
  <c r="N128" i="9"/>
  <c r="M128" i="9"/>
  <c r="L128" i="9"/>
  <c r="M125" i="9"/>
  <c r="L125" i="9"/>
  <c r="M123" i="9"/>
  <c r="L123" i="9"/>
  <c r="M121" i="9"/>
  <c r="O119" i="9"/>
  <c r="N119" i="9"/>
  <c r="L119" i="9"/>
  <c r="M119" i="9" s="1"/>
  <c r="O118" i="9"/>
  <c r="N118" i="9"/>
  <c r="M118" i="9"/>
  <c r="L118" i="9"/>
  <c r="M114" i="9"/>
  <c r="L114" i="9"/>
  <c r="O112" i="9"/>
  <c r="N112" i="9"/>
  <c r="M112" i="9"/>
  <c r="L112" i="9"/>
  <c r="O110" i="9"/>
  <c r="N110" i="9"/>
  <c r="M110" i="9"/>
  <c r="L110" i="9"/>
  <c r="O108" i="9"/>
  <c r="N108" i="9"/>
  <c r="M108" i="9"/>
  <c r="L108" i="9"/>
  <c r="O107" i="9"/>
  <c r="N107" i="9"/>
  <c r="M107" i="9"/>
  <c r="L107" i="9"/>
  <c r="L104" i="9"/>
  <c r="P103" i="9"/>
  <c r="O103" i="9"/>
  <c r="L103" i="9"/>
  <c r="P101" i="9"/>
  <c r="O101" i="9"/>
  <c r="M101" i="9"/>
  <c r="L101" i="9"/>
  <c r="P99" i="9"/>
  <c r="O99" i="9"/>
  <c r="M99" i="9"/>
  <c r="L99" i="9"/>
  <c r="P97" i="9"/>
  <c r="O97" i="9"/>
  <c r="M97" i="9"/>
  <c r="L97" i="9"/>
  <c r="P95" i="9"/>
  <c r="O95" i="9"/>
  <c r="M95" i="9"/>
  <c r="L95" i="9"/>
  <c r="O94" i="9"/>
  <c r="M94" i="9"/>
  <c r="L94" i="9"/>
  <c r="L92" i="9"/>
  <c r="P90" i="9"/>
  <c r="O90" i="9"/>
  <c r="M90" i="9"/>
  <c r="L90" i="9"/>
  <c r="P88" i="9"/>
  <c r="O88" i="9"/>
  <c r="M88" i="9"/>
  <c r="L88" i="9"/>
  <c r="P86" i="9"/>
  <c r="O86" i="9"/>
  <c r="M86" i="9"/>
  <c r="P84" i="9"/>
  <c r="O84" i="9"/>
  <c r="M84" i="9"/>
  <c r="L84" i="9"/>
  <c r="P83" i="9"/>
  <c r="O83" i="9"/>
  <c r="M83" i="9"/>
  <c r="L83" i="9"/>
  <c r="L81" i="9"/>
  <c r="L80" i="9"/>
  <c r="L79" i="9"/>
  <c r="L78" i="9"/>
  <c r="L77" i="9"/>
  <c r="L76" i="9"/>
  <c r="L75" i="9"/>
  <c r="L74" i="9"/>
  <c r="L73" i="9"/>
  <c r="L72" i="9"/>
  <c r="L71" i="9"/>
  <c r="L70" i="9"/>
  <c r="L69" i="9"/>
  <c r="L68" i="9"/>
  <c r="L67" i="9"/>
  <c r="L65" i="9"/>
  <c r="L51" i="9"/>
  <c r="L48" i="9"/>
  <c r="L47" i="9"/>
  <c r="L46" i="9"/>
  <c r="L45" i="9"/>
  <c r="L44" i="9"/>
  <c r="L43" i="9"/>
  <c r="L42" i="9"/>
  <c r="L41" i="9"/>
  <c r="L40" i="9"/>
  <c r="L39" i="9"/>
  <c r="L38" i="9"/>
  <c r="L37" i="9"/>
  <c r="N36" i="9"/>
  <c r="L36" i="9"/>
  <c r="L35" i="9"/>
  <c r="L34" i="9"/>
  <c r="L31" i="9"/>
  <c r="L30" i="9"/>
  <c r="L29" i="9"/>
  <c r="L28" i="9"/>
  <c r="L27" i="9"/>
  <c r="L26" i="9"/>
  <c r="L25" i="9"/>
  <c r="L24" i="9"/>
  <c r="L23" i="9"/>
  <c r="L22" i="9"/>
  <c r="L21" i="9"/>
  <c r="L20" i="9"/>
  <c r="N19" i="9"/>
  <c r="L19" i="9"/>
  <c r="L18" i="9"/>
  <c r="L17" i="9"/>
  <c r="L15" i="9"/>
  <c r="L14" i="9"/>
  <c r="L13" i="9"/>
  <c r="L12" i="9"/>
  <c r="L11" i="9"/>
  <c r="L10" i="9"/>
  <c r="L9" i="9"/>
  <c r="L8" i="9"/>
  <c r="L7" i="9"/>
  <c r="L6" i="9"/>
  <c r="L5" i="9"/>
  <c r="L4" i="9"/>
  <c r="N3" i="9"/>
  <c r="L3" i="9"/>
  <c r="L2" i="9"/>
  <c r="C13" i="8"/>
  <c r="D13" i="8" s="1"/>
  <c r="L12" i="8"/>
  <c r="M12" i="8" s="1"/>
  <c r="I12" i="8"/>
  <c r="J12" i="8" s="1"/>
  <c r="C12" i="8"/>
  <c r="D12" i="8" s="1"/>
  <c r="P11" i="8"/>
  <c r="O11" i="8"/>
  <c r="L11" i="8"/>
  <c r="M11" i="8" s="1"/>
  <c r="I11" i="8"/>
  <c r="J11" i="8" s="1"/>
  <c r="F11" i="8"/>
  <c r="G11" i="8" s="1"/>
  <c r="C11" i="8"/>
  <c r="D11" i="8" s="1"/>
  <c r="O10" i="8"/>
  <c r="P10" i="8" s="1"/>
  <c r="L10" i="8"/>
  <c r="M10" i="8" s="1"/>
  <c r="I10" i="8"/>
  <c r="J10" i="8" s="1"/>
  <c r="F10" i="8"/>
  <c r="G10" i="8" s="1"/>
  <c r="C10" i="8"/>
  <c r="D10" i="8" s="1"/>
  <c r="O9" i="8"/>
  <c r="P9" i="8" s="1"/>
  <c r="M9" i="8"/>
  <c r="L9" i="8"/>
  <c r="I9" i="8"/>
  <c r="J9" i="8" s="1"/>
  <c r="F9" i="8"/>
  <c r="G9" i="8" s="1"/>
  <c r="D9" i="8"/>
  <c r="C9" i="8"/>
  <c r="S8" i="8"/>
  <c r="Q8" i="8"/>
  <c r="R2" i="8" s="1"/>
  <c r="O8" i="8"/>
  <c r="P8" i="8" s="1"/>
  <c r="L8" i="8"/>
  <c r="M8" i="8" s="1"/>
  <c r="J8" i="8"/>
  <c r="I8" i="8"/>
  <c r="G8" i="8"/>
  <c r="F8" i="8"/>
  <c r="C8" i="8"/>
  <c r="D8" i="8" s="1"/>
  <c r="P7" i="8"/>
  <c r="O7" i="8"/>
  <c r="L7" i="8"/>
  <c r="M7" i="8" s="1"/>
  <c r="I7" i="8"/>
  <c r="J7" i="8" s="1"/>
  <c r="F7" i="8"/>
  <c r="G7" i="8" s="1"/>
  <c r="C7" i="8"/>
  <c r="D7" i="8" s="1"/>
  <c r="O6" i="8"/>
  <c r="P6" i="8" s="1"/>
  <c r="L6" i="8"/>
  <c r="M6" i="8" s="1"/>
  <c r="I6" i="8"/>
  <c r="J6" i="8" s="1"/>
  <c r="F6" i="8"/>
  <c r="G6" i="8" s="1"/>
  <c r="C6" i="8"/>
  <c r="D6" i="8" s="1"/>
  <c r="O5" i="8"/>
  <c r="P5" i="8" s="1"/>
  <c r="L5" i="8"/>
  <c r="M5" i="8" s="1"/>
  <c r="I5" i="8"/>
  <c r="J5" i="8" s="1"/>
  <c r="F5" i="8"/>
  <c r="G5" i="8" s="1"/>
  <c r="D5" i="8"/>
  <c r="C5" i="8"/>
  <c r="O4" i="8"/>
  <c r="P4" i="8" s="1"/>
  <c r="L4" i="8"/>
  <c r="M4" i="8" s="1"/>
  <c r="I4" i="8"/>
  <c r="J4" i="8" s="1"/>
  <c r="G4" i="8"/>
  <c r="F4" i="8"/>
  <c r="C4" i="8"/>
  <c r="D4" i="8" s="1"/>
  <c r="O3" i="8"/>
  <c r="P3" i="8" s="1"/>
  <c r="M3" i="8"/>
  <c r="L3" i="8"/>
  <c r="I3" i="8"/>
  <c r="J3" i="8" s="1"/>
  <c r="F3" i="8"/>
  <c r="G3" i="8" s="1"/>
  <c r="C3" i="8"/>
  <c r="D3" i="8" s="1"/>
  <c r="O2" i="8"/>
  <c r="P2" i="8" s="1"/>
  <c r="L2" i="8"/>
  <c r="M2" i="8" s="1"/>
  <c r="I2" i="8"/>
  <c r="J2" i="8" s="1"/>
  <c r="F2" i="8"/>
  <c r="G2" i="8" s="1"/>
  <c r="C2" i="8"/>
  <c r="D2" i="8" s="1"/>
  <c r="C13" i="7"/>
  <c r="D13" i="7" s="1"/>
  <c r="L12" i="7"/>
  <c r="M12" i="7" s="1"/>
  <c r="I12" i="7"/>
  <c r="J12" i="7" s="1"/>
  <c r="C12" i="7"/>
  <c r="D12" i="7" s="1"/>
  <c r="M11" i="7"/>
  <c r="L11" i="7"/>
  <c r="I11" i="7"/>
  <c r="J11" i="7" s="1"/>
  <c r="F11" i="7"/>
  <c r="G11" i="7" s="1"/>
  <c r="C11" i="7"/>
  <c r="D11" i="7" s="1"/>
  <c r="Q10" i="7"/>
  <c r="Q12" i="7" s="1"/>
  <c r="O10" i="7"/>
  <c r="P10" i="7" s="1"/>
  <c r="M10" i="7"/>
  <c r="L10" i="7"/>
  <c r="I10" i="7"/>
  <c r="J10" i="7" s="1"/>
  <c r="F10" i="7"/>
  <c r="G10" i="7" s="1"/>
  <c r="C10" i="7"/>
  <c r="D10" i="7" s="1"/>
  <c r="P9" i="7"/>
  <c r="O9" i="7"/>
  <c r="M9" i="7"/>
  <c r="L9" i="7"/>
  <c r="I9" i="7"/>
  <c r="J9" i="7" s="1"/>
  <c r="F9" i="7"/>
  <c r="G9" i="7" s="1"/>
  <c r="C9" i="7"/>
  <c r="D9" i="7" s="1"/>
  <c r="R8" i="7"/>
  <c r="O8" i="7"/>
  <c r="P8" i="7" s="1"/>
  <c r="L8" i="7"/>
  <c r="M8" i="7" s="1"/>
  <c r="I8" i="7"/>
  <c r="J8" i="7" s="1"/>
  <c r="F8" i="7"/>
  <c r="G8" i="7" s="1"/>
  <c r="D8" i="7"/>
  <c r="C8" i="7"/>
  <c r="O7" i="7"/>
  <c r="P7" i="7" s="1"/>
  <c r="L7" i="7"/>
  <c r="M7" i="7" s="1"/>
  <c r="I7" i="7"/>
  <c r="J7" i="7" s="1"/>
  <c r="F7" i="7"/>
  <c r="G7" i="7" s="1"/>
  <c r="C7" i="7"/>
  <c r="D7" i="7" s="1"/>
  <c r="O6" i="7"/>
  <c r="P6" i="7" s="1"/>
  <c r="L6" i="7"/>
  <c r="M6" i="7" s="1"/>
  <c r="J6" i="7"/>
  <c r="I6" i="7"/>
  <c r="F6" i="7"/>
  <c r="G6" i="7" s="1"/>
  <c r="C6" i="7"/>
  <c r="D6" i="7" s="1"/>
  <c r="P5" i="7"/>
  <c r="O5" i="7"/>
  <c r="L5" i="7"/>
  <c r="M5" i="7" s="1"/>
  <c r="I5" i="7"/>
  <c r="J5" i="7" s="1"/>
  <c r="F5" i="7"/>
  <c r="G5" i="7" s="1"/>
  <c r="C5" i="7"/>
  <c r="D5" i="7" s="1"/>
  <c r="O4" i="7"/>
  <c r="P4" i="7" s="1"/>
  <c r="M4" i="7"/>
  <c r="L4" i="7"/>
  <c r="I4" i="7"/>
  <c r="J4" i="7" s="1"/>
  <c r="F4" i="7"/>
  <c r="G4" i="7" s="1"/>
  <c r="C4" i="7"/>
  <c r="D4" i="7" s="1"/>
  <c r="O3" i="7"/>
  <c r="P3" i="7" s="1"/>
  <c r="L3" i="7"/>
  <c r="M3" i="7" s="1"/>
  <c r="I3" i="7"/>
  <c r="J3" i="7" s="1"/>
  <c r="F3" i="7"/>
  <c r="G3" i="7" s="1"/>
  <c r="D3" i="7"/>
  <c r="C3" i="7"/>
  <c r="O2" i="7"/>
  <c r="P2" i="7" s="1"/>
  <c r="L2" i="7"/>
  <c r="M2" i="7" s="1"/>
  <c r="I2" i="7"/>
  <c r="J2" i="7" s="1"/>
  <c r="G2" i="7"/>
  <c r="F2" i="7"/>
  <c r="C2" i="7"/>
  <c r="D2" i="7" s="1"/>
  <c r="K12" i="6"/>
  <c r="L12" i="6" s="1"/>
  <c r="H12" i="6"/>
  <c r="I12" i="6" s="1"/>
  <c r="T11" i="6"/>
  <c r="K11" i="6"/>
  <c r="L11" i="6" s="1"/>
  <c r="H11" i="6"/>
  <c r="E11" i="6"/>
  <c r="F11" i="6" s="1"/>
  <c r="N10" i="6"/>
  <c r="L10" i="6"/>
  <c r="K10" i="6"/>
  <c r="H10" i="6"/>
  <c r="I10" i="6" s="1"/>
  <c r="F10" i="6"/>
  <c r="E10" i="6"/>
  <c r="T9" i="6"/>
  <c r="Q9" i="6"/>
  <c r="R9" i="6" s="1"/>
  <c r="O9" i="6"/>
  <c r="N9" i="6"/>
  <c r="L9" i="6"/>
  <c r="K9" i="6"/>
  <c r="H9" i="6"/>
  <c r="I9" i="6" s="1"/>
  <c r="E9" i="6"/>
  <c r="R8" i="6"/>
  <c r="Q8" i="6"/>
  <c r="N8" i="6"/>
  <c r="O8" i="6" s="1"/>
  <c r="L8" i="6"/>
  <c r="K8" i="6"/>
  <c r="H8" i="6"/>
  <c r="I8" i="6" s="1"/>
  <c r="F8" i="6"/>
  <c r="E8" i="6"/>
  <c r="S7" i="6"/>
  <c r="R7" i="6"/>
  <c r="Q7" i="6"/>
  <c r="N7" i="6"/>
  <c r="O7" i="6" s="1"/>
  <c r="K7" i="6"/>
  <c r="L7" i="6" s="1"/>
  <c r="I7" i="6"/>
  <c r="H7" i="6"/>
  <c r="F7" i="6"/>
  <c r="E7" i="6"/>
  <c r="B7" i="6"/>
  <c r="Q6" i="6"/>
  <c r="N6" i="6"/>
  <c r="O6" i="6" s="1"/>
  <c r="L6" i="6"/>
  <c r="K6" i="6"/>
  <c r="I6" i="6"/>
  <c r="H6" i="6"/>
  <c r="E6" i="6"/>
  <c r="F6" i="6" s="1"/>
  <c r="B6" i="6"/>
  <c r="C6" i="6" s="1"/>
  <c r="R5" i="6"/>
  <c r="Q5" i="6"/>
  <c r="O5" i="6"/>
  <c r="N5" i="6"/>
  <c r="K5" i="6"/>
  <c r="L5" i="6" s="1"/>
  <c r="H5" i="6"/>
  <c r="I5" i="6" s="1"/>
  <c r="F5" i="6"/>
  <c r="E5" i="6"/>
  <c r="B5" i="6"/>
  <c r="Q4" i="6"/>
  <c r="N4" i="6"/>
  <c r="O4" i="6" s="1"/>
  <c r="O14" i="6" s="1"/>
  <c r="K4" i="6"/>
  <c r="L4" i="6" s="1"/>
  <c r="I4" i="6"/>
  <c r="H4" i="6"/>
  <c r="F4" i="6"/>
  <c r="E4" i="6"/>
  <c r="B4" i="6"/>
  <c r="C4" i="6" s="1"/>
  <c r="Q3" i="6"/>
  <c r="R3" i="6" s="1"/>
  <c r="O3" i="6"/>
  <c r="O15" i="6" s="1"/>
  <c r="N3" i="6"/>
  <c r="L3" i="6"/>
  <c r="K3" i="6"/>
  <c r="H3" i="6"/>
  <c r="I3" i="6" s="1"/>
  <c r="E3" i="6"/>
  <c r="F3" i="6" s="1"/>
  <c r="B3" i="6"/>
  <c r="Q2" i="6"/>
  <c r="R2" i="6" s="1"/>
  <c r="N2" i="6"/>
  <c r="K2" i="6"/>
  <c r="L2" i="6" s="1"/>
  <c r="H2" i="6"/>
  <c r="I2" i="6" s="1"/>
  <c r="F2" i="6"/>
  <c r="E2" i="6"/>
  <c r="C2" i="6"/>
  <c r="B2" i="6"/>
  <c r="H13" i="5"/>
  <c r="I13" i="5" s="1"/>
  <c r="K12" i="5"/>
  <c r="L12" i="5" s="1"/>
  <c r="H12" i="5"/>
  <c r="I12" i="5" s="1"/>
  <c r="K11" i="5"/>
  <c r="L11" i="5" s="1"/>
  <c r="H11" i="5"/>
  <c r="I11" i="5" s="1"/>
  <c r="F11" i="5"/>
  <c r="E11" i="5"/>
  <c r="Q10" i="5"/>
  <c r="Q12" i="5" s="1"/>
  <c r="N10" i="5"/>
  <c r="O10" i="5" s="1"/>
  <c r="K10" i="5"/>
  <c r="L10" i="5" s="1"/>
  <c r="H10" i="5"/>
  <c r="I10" i="5" s="1"/>
  <c r="E10" i="5"/>
  <c r="F10" i="5" s="1"/>
  <c r="P9" i="5"/>
  <c r="O9" i="5"/>
  <c r="N9" i="5"/>
  <c r="L9" i="5"/>
  <c r="K9" i="5"/>
  <c r="H9" i="5"/>
  <c r="I9" i="5" s="1"/>
  <c r="E9" i="5"/>
  <c r="F9" i="5" s="1"/>
  <c r="O8" i="5"/>
  <c r="N8" i="5"/>
  <c r="L8" i="5"/>
  <c r="K8" i="5"/>
  <c r="H8" i="5"/>
  <c r="I8" i="5" s="1"/>
  <c r="E8" i="5"/>
  <c r="F8" i="5" s="1"/>
  <c r="O7" i="5"/>
  <c r="N7" i="5"/>
  <c r="K7" i="5"/>
  <c r="L7" i="5" s="1"/>
  <c r="I7" i="5"/>
  <c r="H7" i="5"/>
  <c r="E7" i="5"/>
  <c r="F7" i="5" s="1"/>
  <c r="B7" i="5"/>
  <c r="C7" i="5" s="1"/>
  <c r="N6" i="5"/>
  <c r="O6" i="5" s="1"/>
  <c r="L6" i="5"/>
  <c r="K6" i="5"/>
  <c r="H6" i="5"/>
  <c r="I6" i="5" s="1"/>
  <c r="E6" i="5"/>
  <c r="F6" i="5" s="1"/>
  <c r="B6" i="5"/>
  <c r="C6" i="5" s="1"/>
  <c r="O5" i="5"/>
  <c r="N5" i="5"/>
  <c r="K5" i="5"/>
  <c r="L5" i="5" s="1"/>
  <c r="H5" i="5"/>
  <c r="I5" i="5" s="1"/>
  <c r="E5" i="5"/>
  <c r="F5" i="5" s="1"/>
  <c r="B5" i="5"/>
  <c r="C5" i="5" s="1"/>
  <c r="N4" i="5"/>
  <c r="O4" i="5" s="1"/>
  <c r="L4" i="5"/>
  <c r="K4" i="5"/>
  <c r="H4" i="5"/>
  <c r="I4" i="5" s="1"/>
  <c r="E4" i="5"/>
  <c r="F4" i="5" s="1"/>
  <c r="C4" i="5"/>
  <c r="B4" i="5"/>
  <c r="N3" i="5"/>
  <c r="O3" i="5" s="1"/>
  <c r="K3" i="5"/>
  <c r="L3" i="5" s="1"/>
  <c r="H3" i="5"/>
  <c r="I3" i="5" s="1"/>
  <c r="E3" i="5"/>
  <c r="F3" i="5" s="1"/>
  <c r="B3" i="5"/>
  <c r="C3" i="5" s="1"/>
  <c r="N2" i="5"/>
  <c r="O2" i="5" s="1"/>
  <c r="K2" i="5"/>
  <c r="L2" i="5" s="1"/>
  <c r="H2" i="5"/>
  <c r="I2" i="5" s="1"/>
  <c r="E2" i="5"/>
  <c r="F2" i="5" s="1"/>
  <c r="B2" i="5"/>
  <c r="C2" i="5" s="1"/>
  <c r="E37" i="4"/>
  <c r="D37" i="4"/>
  <c r="C37" i="4"/>
  <c r="B37" i="4"/>
  <c r="F36" i="4"/>
  <c r="E36" i="4"/>
  <c r="D36" i="4"/>
  <c r="C36" i="4"/>
  <c r="B36" i="4"/>
  <c r="F35" i="4"/>
  <c r="E35" i="4"/>
  <c r="D35" i="4"/>
  <c r="C35" i="4"/>
  <c r="B35" i="4"/>
  <c r="F16" i="4"/>
  <c r="E16" i="4"/>
  <c r="D16" i="4"/>
  <c r="C16" i="4"/>
  <c r="B16" i="4"/>
  <c r="F15" i="4"/>
  <c r="E15" i="4"/>
  <c r="D15" i="4"/>
  <c r="C15" i="4"/>
  <c r="F14" i="4"/>
  <c r="E14" i="4"/>
  <c r="D14" i="4"/>
  <c r="C14" i="4"/>
  <c r="B14" i="4"/>
  <c r="I12" i="3"/>
  <c r="G12" i="3"/>
  <c r="I11" i="3"/>
  <c r="G11" i="3"/>
  <c r="E11" i="3"/>
  <c r="I10" i="3"/>
  <c r="G10" i="3"/>
  <c r="E10" i="3"/>
  <c r="I9" i="3"/>
  <c r="G9" i="3"/>
  <c r="G15" i="3" s="1"/>
  <c r="E9" i="3"/>
  <c r="I8" i="3"/>
  <c r="G8" i="3"/>
  <c r="E8" i="3"/>
  <c r="I7" i="3"/>
  <c r="G7" i="3"/>
  <c r="E7" i="3"/>
  <c r="C7" i="3"/>
  <c r="K6" i="3"/>
  <c r="I6" i="3"/>
  <c r="G6" i="3"/>
  <c r="E6" i="3"/>
  <c r="C6" i="3"/>
  <c r="K5" i="3"/>
  <c r="I5" i="3"/>
  <c r="I15" i="3" s="1"/>
  <c r="G5" i="3"/>
  <c r="E5" i="3"/>
  <c r="C5" i="3"/>
  <c r="K4" i="3"/>
  <c r="I4" i="3"/>
  <c r="G4" i="3"/>
  <c r="E4" i="3"/>
  <c r="C4" i="3"/>
  <c r="K3" i="3"/>
  <c r="K16" i="3" s="1"/>
  <c r="I3" i="3"/>
  <c r="G3" i="3"/>
  <c r="E3" i="3"/>
  <c r="C3" i="3"/>
  <c r="I2" i="3"/>
  <c r="G2" i="3"/>
  <c r="E2" i="3"/>
  <c r="C2" i="3"/>
  <c r="C15" i="3" s="1"/>
  <c r="I12" i="2"/>
  <c r="G12" i="2"/>
  <c r="I11" i="2"/>
  <c r="G11" i="2"/>
  <c r="E11" i="2"/>
  <c r="I10" i="2"/>
  <c r="G10" i="2"/>
  <c r="E10" i="2"/>
  <c r="I9" i="2"/>
  <c r="G9" i="2"/>
  <c r="E9" i="2"/>
  <c r="I8" i="2"/>
  <c r="G8" i="2"/>
  <c r="E8" i="2"/>
  <c r="I7" i="2"/>
  <c r="G7" i="2"/>
  <c r="E7" i="2"/>
  <c r="C7" i="2"/>
  <c r="K6" i="2"/>
  <c r="I6" i="2"/>
  <c r="G6" i="2"/>
  <c r="E6" i="2"/>
  <c r="C6" i="2"/>
  <c r="K5" i="2"/>
  <c r="K15" i="2" s="1"/>
  <c r="I5" i="2"/>
  <c r="G5" i="2"/>
  <c r="E5" i="2"/>
  <c r="C5" i="2"/>
  <c r="K4" i="2"/>
  <c r="I4" i="2"/>
  <c r="G4" i="2"/>
  <c r="G14" i="2" s="1"/>
  <c r="E4" i="2"/>
  <c r="C4" i="2"/>
  <c r="K3" i="2"/>
  <c r="I3" i="2"/>
  <c r="G3" i="2"/>
  <c r="E3" i="2"/>
  <c r="C3" i="2"/>
  <c r="K2" i="2"/>
  <c r="I2" i="2"/>
  <c r="I15" i="2" s="1"/>
  <c r="G2" i="2"/>
  <c r="E2" i="2"/>
  <c r="C2" i="2"/>
  <c r="I12" i="1"/>
  <c r="G12" i="1"/>
  <c r="I11" i="1"/>
  <c r="G11" i="1"/>
  <c r="E11" i="1"/>
  <c r="I10" i="1"/>
  <c r="G10" i="1"/>
  <c r="E10" i="1"/>
  <c r="I9" i="1"/>
  <c r="G9" i="1"/>
  <c r="E9" i="1"/>
  <c r="I8" i="1"/>
  <c r="G8" i="1"/>
  <c r="E8" i="1"/>
  <c r="I7" i="1"/>
  <c r="G7" i="1"/>
  <c r="E7" i="1"/>
  <c r="C7" i="1"/>
  <c r="K6" i="1"/>
  <c r="I6" i="1"/>
  <c r="G6" i="1"/>
  <c r="E6" i="1"/>
  <c r="C6" i="1"/>
  <c r="K5" i="1"/>
  <c r="I5" i="1"/>
  <c r="G5" i="1"/>
  <c r="E5" i="1"/>
  <c r="C5" i="1"/>
  <c r="K4" i="1"/>
  <c r="I4" i="1"/>
  <c r="G4" i="1"/>
  <c r="E4" i="1"/>
  <c r="C4" i="1"/>
  <c r="K3" i="1"/>
  <c r="I3" i="1"/>
  <c r="G3" i="1"/>
  <c r="E3" i="1"/>
  <c r="C3" i="1"/>
  <c r="C15" i="1" s="1"/>
  <c r="K2" i="1"/>
  <c r="I2" i="1"/>
  <c r="G2" i="1"/>
  <c r="E2" i="1"/>
  <c r="L3" i="10" l="1"/>
  <c r="N67" i="9"/>
  <c r="N17" i="9"/>
  <c r="N34" i="9"/>
  <c r="N2" i="9"/>
  <c r="P17" i="8"/>
  <c r="I15" i="5"/>
  <c r="M16" i="7"/>
  <c r="M15" i="7"/>
  <c r="K15" i="3"/>
  <c r="G16" i="3"/>
  <c r="I16" i="3"/>
  <c r="E15" i="3"/>
  <c r="C14" i="1"/>
  <c r="E15" i="1"/>
  <c r="G15" i="1"/>
  <c r="I14" i="1"/>
  <c r="K14" i="1"/>
  <c r="C14" i="2"/>
  <c r="E14" i="2"/>
  <c r="I14" i="2"/>
  <c r="D16" i="8"/>
  <c r="D17" i="8"/>
  <c r="G16" i="8"/>
  <c r="G17" i="8"/>
  <c r="J16" i="8"/>
  <c r="J17" i="8"/>
  <c r="M17" i="8"/>
  <c r="M16" i="8"/>
  <c r="P16" i="8"/>
  <c r="D15" i="7"/>
  <c r="D16" i="7"/>
  <c r="J15" i="7"/>
  <c r="J16" i="7"/>
  <c r="G15" i="7"/>
  <c r="P16" i="7"/>
  <c r="P15" i="7"/>
  <c r="G16" i="7"/>
  <c r="R15" i="6"/>
  <c r="R14" i="6"/>
  <c r="C13" i="6"/>
  <c r="F13" i="6"/>
  <c r="I14" i="6"/>
  <c r="I15" i="6"/>
  <c r="L14" i="6"/>
  <c r="C15" i="6"/>
  <c r="F15" i="6"/>
  <c r="L15" i="6"/>
  <c r="F15" i="5"/>
  <c r="F16" i="5"/>
  <c r="C15" i="5"/>
  <c r="C16" i="5"/>
  <c r="L16" i="5"/>
  <c r="L15" i="5"/>
  <c r="O16" i="5"/>
  <c r="O15" i="5"/>
  <c r="I16" i="5"/>
  <c r="C16" i="3"/>
  <c r="E16" i="3"/>
  <c r="K14" i="2"/>
  <c r="C15" i="2"/>
  <c r="E15" i="2"/>
  <c r="G15" i="2"/>
  <c r="E14" i="1"/>
  <c r="I15" i="1"/>
  <c r="G14" i="1"/>
  <c r="K15" i="1"/>
</calcChain>
</file>

<file path=xl/sharedStrings.xml><?xml version="1.0" encoding="utf-8"?>
<sst xmlns="http://schemas.openxmlformats.org/spreadsheetml/2006/main" count="337" uniqueCount="120">
  <si>
    <t>空白组</t>
    <phoneticPr fontId="2" type="noConversion"/>
  </si>
  <si>
    <t>%</t>
    <phoneticPr fontId="2" type="noConversion"/>
  </si>
  <si>
    <t>模型组</t>
    <phoneticPr fontId="2" type="noConversion"/>
  </si>
  <si>
    <t>平均值</t>
    <phoneticPr fontId="2" type="noConversion"/>
  </si>
  <si>
    <t>SD</t>
    <phoneticPr fontId="2" type="noConversion"/>
  </si>
  <si>
    <t>ISI</t>
    <phoneticPr fontId="2" type="noConversion"/>
  </si>
  <si>
    <t>K</t>
    <phoneticPr fontId="2" type="noConversion"/>
  </si>
  <si>
    <t>Y</t>
    <phoneticPr fontId="2" type="noConversion"/>
  </si>
  <si>
    <t>M0</t>
    <phoneticPr fontId="2" type="noConversion"/>
  </si>
  <si>
    <t>L</t>
    <phoneticPr fontId="2" type="noConversion"/>
  </si>
  <si>
    <t>M</t>
    <phoneticPr fontId="2" type="noConversion"/>
  </si>
  <si>
    <t>H</t>
    <phoneticPr fontId="2" type="noConversion"/>
  </si>
  <si>
    <t>IRI</t>
    <phoneticPr fontId="2" type="noConversion"/>
  </si>
  <si>
    <t>Y-空白</t>
    <phoneticPr fontId="2" type="noConversion"/>
  </si>
  <si>
    <t>L-空白</t>
    <phoneticPr fontId="2" type="noConversion"/>
  </si>
  <si>
    <t>L浓度</t>
    <phoneticPr fontId="2" type="noConversion"/>
  </si>
  <si>
    <t>M-空白</t>
    <phoneticPr fontId="2" type="noConversion"/>
  </si>
  <si>
    <t>M浓度</t>
    <phoneticPr fontId="2" type="noConversion"/>
  </si>
  <si>
    <t>H-空白</t>
    <phoneticPr fontId="2" type="noConversion"/>
  </si>
  <si>
    <t>H浓度</t>
    <phoneticPr fontId="2" type="noConversion"/>
  </si>
  <si>
    <t>KONGBAI</t>
    <phoneticPr fontId="2" type="noConversion"/>
  </si>
  <si>
    <t>BIAOZHUN</t>
    <phoneticPr fontId="2" type="noConversion"/>
  </si>
  <si>
    <t>空白平均值</t>
    <phoneticPr fontId="2" type="noConversion"/>
  </si>
  <si>
    <t>标准平均值</t>
    <phoneticPr fontId="2" type="noConversion"/>
  </si>
  <si>
    <t>标准-空白</t>
    <phoneticPr fontId="2" type="noConversion"/>
  </si>
  <si>
    <t>MO</t>
    <phoneticPr fontId="2" type="noConversion"/>
  </si>
  <si>
    <t>Y浓度</t>
    <phoneticPr fontId="2" type="noConversion"/>
  </si>
  <si>
    <t>L</t>
  </si>
  <si>
    <t xml:space="preserve">M </t>
  </si>
  <si>
    <t>H</t>
  </si>
  <si>
    <t>k6</t>
    <phoneticPr fontId="2" type="noConversion"/>
  </si>
  <si>
    <t>k1</t>
    <phoneticPr fontId="2" type="noConversion"/>
  </si>
  <si>
    <t>k2</t>
    <phoneticPr fontId="2" type="noConversion"/>
  </si>
  <si>
    <t>k3</t>
    <phoneticPr fontId="2" type="noConversion"/>
  </si>
  <si>
    <t>k4</t>
    <phoneticPr fontId="2" type="noConversion"/>
  </si>
  <si>
    <t>k5</t>
    <phoneticPr fontId="2" type="noConversion"/>
  </si>
  <si>
    <t>KONGBAI平均值</t>
    <phoneticPr fontId="2" type="noConversion"/>
  </si>
  <si>
    <t>BIAOZHUN平均值</t>
    <phoneticPr fontId="2" type="noConversion"/>
  </si>
  <si>
    <t>标准液的浓度</t>
    <phoneticPr fontId="2" type="noConversion"/>
  </si>
  <si>
    <t>2.6mmol/L</t>
    <phoneticPr fontId="2" type="noConversion"/>
  </si>
  <si>
    <t>8个</t>
    <phoneticPr fontId="2" type="noConversion"/>
  </si>
  <si>
    <t>mg</t>
    <phoneticPr fontId="2" type="noConversion"/>
  </si>
  <si>
    <t>替补13</t>
    <phoneticPr fontId="2" type="noConversion"/>
  </si>
  <si>
    <t>空白14</t>
    <phoneticPr fontId="2" type="noConversion"/>
  </si>
  <si>
    <t>挑作实验备用组</t>
    <phoneticPr fontId="2" type="noConversion"/>
  </si>
  <si>
    <t>低剂量</t>
    <phoneticPr fontId="2" type="noConversion"/>
  </si>
  <si>
    <t>中剂量</t>
    <phoneticPr fontId="2" type="noConversion"/>
  </si>
  <si>
    <t>高剂量</t>
    <phoneticPr fontId="2" type="noConversion"/>
  </si>
  <si>
    <t>备用组</t>
    <phoneticPr fontId="2" type="noConversion"/>
  </si>
  <si>
    <t>灌胃一周后</t>
    <phoneticPr fontId="2" type="noConversion"/>
  </si>
  <si>
    <t>阳性和备用合并后的体重</t>
    <phoneticPr fontId="2" type="noConversion"/>
  </si>
  <si>
    <t>（10个）</t>
    <phoneticPr fontId="2" type="noConversion"/>
  </si>
  <si>
    <t>1号</t>
    <phoneticPr fontId="2" type="noConversion"/>
  </si>
  <si>
    <t>2号</t>
    <phoneticPr fontId="2" type="noConversion"/>
  </si>
  <si>
    <t>3号</t>
    <phoneticPr fontId="2" type="noConversion"/>
  </si>
  <si>
    <t>4号</t>
    <phoneticPr fontId="2" type="noConversion"/>
  </si>
  <si>
    <t>5号</t>
    <phoneticPr fontId="2" type="noConversion"/>
  </si>
  <si>
    <t>6号</t>
    <phoneticPr fontId="2" type="noConversion"/>
  </si>
  <si>
    <t>60min</t>
    <phoneticPr fontId="2" type="noConversion"/>
  </si>
  <si>
    <t>120min</t>
    <phoneticPr fontId="2" type="noConversion"/>
  </si>
  <si>
    <t>180min</t>
    <phoneticPr fontId="2" type="noConversion"/>
  </si>
  <si>
    <t>K蛋白浓度</t>
  </si>
  <si>
    <t>K总SOD</t>
    <phoneticPr fontId="2" type="noConversion"/>
  </si>
  <si>
    <t>MO蛋白浓度</t>
  </si>
  <si>
    <t>M0总SOD</t>
    <phoneticPr fontId="2" type="noConversion"/>
  </si>
  <si>
    <t>L蛋白浓度</t>
  </si>
  <si>
    <t>L总SOD</t>
    <phoneticPr fontId="2" type="noConversion"/>
  </si>
  <si>
    <t>M蛋白浓度</t>
  </si>
  <si>
    <t>M总SOD</t>
    <phoneticPr fontId="2" type="noConversion"/>
  </si>
  <si>
    <t>H蛋白浓度</t>
  </si>
  <si>
    <t>H总SOD</t>
    <phoneticPr fontId="2" type="noConversion"/>
  </si>
  <si>
    <t>0 pg</t>
  </si>
  <si>
    <t>TNF-a</t>
  </si>
  <si>
    <t>标准曲线</t>
  </si>
  <si>
    <t>NC</t>
    <phoneticPr fontId="2" type="noConversion"/>
  </si>
  <si>
    <t>DM</t>
    <phoneticPr fontId="2" type="noConversion"/>
  </si>
  <si>
    <t>CIG-L</t>
    <phoneticPr fontId="2" type="noConversion"/>
  </si>
  <si>
    <t>CIG-M</t>
    <phoneticPr fontId="2" type="noConversion"/>
  </si>
  <si>
    <t>CIG-H</t>
    <phoneticPr fontId="1" type="noConversion"/>
  </si>
  <si>
    <t>MEAN</t>
    <phoneticPr fontId="2" type="noConversion"/>
  </si>
  <si>
    <t>NC</t>
    <phoneticPr fontId="1" type="noConversion"/>
  </si>
  <si>
    <t>CIG-L</t>
    <phoneticPr fontId="1" type="noConversion"/>
  </si>
  <si>
    <t>CIG-M</t>
    <phoneticPr fontId="1" type="noConversion"/>
  </si>
  <si>
    <t>SD</t>
    <phoneticPr fontId="1" type="noConversion"/>
  </si>
  <si>
    <t>NC</t>
  </si>
  <si>
    <t>DM</t>
  </si>
  <si>
    <t>CIG-L</t>
  </si>
  <si>
    <t>DM-空白</t>
    <phoneticPr fontId="2" type="noConversion"/>
  </si>
  <si>
    <t>DM浓度</t>
    <phoneticPr fontId="2" type="noConversion"/>
  </si>
  <si>
    <t>2017-8-27小鼠体重（第5周,灌胃起始体重）</t>
    <phoneticPr fontId="2" type="noConversion"/>
  </si>
  <si>
    <t>2017-9-1小鼠体重（第6周）</t>
    <phoneticPr fontId="2" type="noConversion"/>
  </si>
  <si>
    <t>2017-9-9小鼠体重（灌胃2周后）</t>
    <phoneticPr fontId="2" type="noConversion"/>
  </si>
  <si>
    <t>2017-9-15小鼠体重（灌胃3周后）</t>
    <phoneticPr fontId="2" type="noConversion"/>
  </si>
  <si>
    <t>2017-9-23小鼠体重（灌胃4周后）</t>
    <phoneticPr fontId="2" type="noConversion"/>
  </si>
  <si>
    <t>2017-7-25小鼠体重（第0周）</t>
    <phoneticPr fontId="2" type="noConversion"/>
  </si>
  <si>
    <t>2017-8-1小鼠体重（第1周）</t>
    <phoneticPr fontId="2" type="noConversion"/>
  </si>
  <si>
    <t>2017-8-8小鼠体重（第2周）</t>
    <phoneticPr fontId="2" type="noConversion"/>
  </si>
  <si>
    <t>2017-8-15小鼠体重（第3周）</t>
    <phoneticPr fontId="2" type="noConversion"/>
  </si>
  <si>
    <t>2017-8-15小鼠体重（第4周）</t>
    <phoneticPr fontId="2" type="noConversion"/>
  </si>
  <si>
    <t>OGTT</t>
    <phoneticPr fontId="1" type="noConversion"/>
  </si>
  <si>
    <t>CIG-M</t>
  </si>
  <si>
    <t>CIG-H</t>
  </si>
  <si>
    <t>30min</t>
    <phoneticPr fontId="2" type="noConversion"/>
  </si>
  <si>
    <t>FBG-0min</t>
    <phoneticPr fontId="2" type="noConversion"/>
  </si>
  <si>
    <t>OGTT</t>
    <phoneticPr fontId="2" type="noConversion"/>
  </si>
  <si>
    <t>4w</t>
    <phoneticPr fontId="2" type="noConversion"/>
  </si>
  <si>
    <t>3w</t>
    <phoneticPr fontId="2" type="noConversion"/>
  </si>
  <si>
    <t>2w</t>
    <phoneticPr fontId="2" type="noConversion"/>
  </si>
  <si>
    <t>1w</t>
    <phoneticPr fontId="2" type="noConversion"/>
  </si>
  <si>
    <t>0w</t>
    <phoneticPr fontId="2" type="noConversion"/>
  </si>
  <si>
    <r>
      <t>NC-</t>
    </r>
    <r>
      <rPr>
        <sz val="11"/>
        <rFont val="宋体"/>
        <family val="3"/>
        <charset val="134"/>
      </rPr>
      <t>空白</t>
    </r>
    <phoneticPr fontId="2" type="noConversion"/>
  </si>
  <si>
    <r>
      <t>NC</t>
    </r>
    <r>
      <rPr>
        <sz val="11"/>
        <rFont val="宋体"/>
        <family val="3"/>
        <charset val="134"/>
      </rPr>
      <t>浓度</t>
    </r>
    <phoneticPr fontId="2" type="noConversion"/>
  </si>
  <si>
    <t>Mean</t>
    <phoneticPr fontId="2" type="noConversion"/>
  </si>
  <si>
    <t>0 ng</t>
    <phoneticPr fontId="1" type="noConversion"/>
  </si>
  <si>
    <t>mean</t>
    <phoneticPr fontId="1" type="noConversion"/>
  </si>
  <si>
    <t>OD</t>
    <phoneticPr fontId="1" type="noConversion"/>
  </si>
  <si>
    <t>OD</t>
    <phoneticPr fontId="2" type="noConversion"/>
  </si>
  <si>
    <t>IL-6</t>
    <phoneticPr fontId="1" type="noConversion"/>
  </si>
  <si>
    <t>CRP</t>
    <phoneticPr fontId="1" type="noConversion"/>
  </si>
  <si>
    <t>mean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</si>
</sst>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0_);[Red]\(0.00\)"/>
    <numFmt numFmtId="178" formatCode="0.000_ "/>
  </numFmts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等线"/>
      <family val="2"/>
      <charset val="134"/>
      <scheme val="minor"/>
    </font>
    <font>
      <sz val="11"/>
      <name val="Arial"/>
      <family val="2"/>
    </font>
    <font>
      <sz val="11"/>
      <name val="宋体"/>
      <family val="3"/>
      <charset val="134"/>
    </font>
    <font>
      <sz val="11"/>
      <name val="等线"/>
      <family val="3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>
      <alignment vertical="center"/>
    </xf>
    <xf numFmtId="176" fontId="0" fillId="0" borderId="0" xfId="0" applyNumberFormat="1" applyFill="1" applyAlignment="1"/>
    <xf numFmtId="0" fontId="4" fillId="0" borderId="0" xfId="0" applyFont="1" applyFill="1">
      <alignment vertical="center"/>
    </xf>
    <xf numFmtId="0" fontId="3" fillId="0" borderId="0" xfId="0" applyFont="1" applyFill="1">
      <alignment vertical="center"/>
    </xf>
    <xf numFmtId="176" fontId="4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176" fontId="7" fillId="0" borderId="0" xfId="0" applyNumberFormat="1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8" fontId="4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>
      <alignment vertical="center"/>
    </xf>
    <xf numFmtId="177" fontId="4" fillId="0" borderId="0" xfId="0" applyNumberFormat="1" applyFont="1" applyFill="1" applyAlignment="1">
      <alignment horizontal="center" vertical="center"/>
    </xf>
    <xf numFmtId="0" fontId="7" fillId="0" borderId="0" xfId="0" applyFont="1" applyFill="1">
      <alignment vertical="center"/>
    </xf>
    <xf numFmtId="177" fontId="3" fillId="0" borderId="0" xfId="0" applyNumberFormat="1" applyFont="1" applyFill="1">
      <alignment vertical="center"/>
    </xf>
    <xf numFmtId="14" fontId="4" fillId="0" borderId="0" xfId="0" applyNumberFormat="1" applyFont="1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7881C-7E46-4860-9790-1062536BEFF1}">
  <dimension ref="A1:K15"/>
  <sheetViews>
    <sheetView topLeftCell="A2" workbookViewId="0">
      <selection activeCell="D16" sqref="D16"/>
    </sheetView>
  </sheetViews>
  <sheetFormatPr defaultRowHeight="14" x14ac:dyDescent="0.3"/>
  <cols>
    <col min="1" max="16384" width="8.6640625" style="2"/>
  </cols>
  <sheetData>
    <row r="1" spans="1:11" x14ac:dyDescent="0.3">
      <c r="A1" s="1"/>
      <c r="B1" s="1" t="s">
        <v>74</v>
      </c>
      <c r="C1" s="1" t="s">
        <v>1</v>
      </c>
      <c r="D1" s="1" t="s">
        <v>75</v>
      </c>
      <c r="E1" s="1" t="s">
        <v>1</v>
      </c>
      <c r="F1" s="1" t="s">
        <v>76</v>
      </c>
      <c r="G1" s="1" t="s">
        <v>1</v>
      </c>
      <c r="H1" s="1" t="s">
        <v>77</v>
      </c>
      <c r="I1" s="1" t="s">
        <v>1</v>
      </c>
      <c r="J1" s="1" t="s">
        <v>78</v>
      </c>
      <c r="K1" s="1" t="s">
        <v>1</v>
      </c>
    </row>
    <row r="2" spans="1:11" x14ac:dyDescent="0.3">
      <c r="A2" s="1"/>
      <c r="B2" s="1">
        <v>0.49</v>
      </c>
      <c r="C2" s="1">
        <f t="shared" ref="C2:C7" si="0">B2/33.45*100</f>
        <v>1.4648729446935724</v>
      </c>
      <c r="D2" s="1">
        <v>0.5</v>
      </c>
      <c r="E2" s="1">
        <f>D2/27.17*100</f>
        <v>1.8402649981597348</v>
      </c>
      <c r="F2" s="1">
        <v>0.45</v>
      </c>
      <c r="G2" s="1">
        <f>F2/26.84*100</f>
        <v>1.6766020864381521</v>
      </c>
      <c r="H2" s="1">
        <v>0.34</v>
      </c>
      <c r="I2" s="1">
        <f>H2/29.04*100</f>
        <v>1.1707988980716253</v>
      </c>
      <c r="J2" s="1">
        <v>0.44</v>
      </c>
      <c r="K2" s="1">
        <f>J2/30.13*100</f>
        <v>1.4603385330235645</v>
      </c>
    </row>
    <row r="3" spans="1:11" x14ac:dyDescent="0.3">
      <c r="A3" s="1"/>
      <c r="B3" s="1">
        <v>0.31</v>
      </c>
      <c r="C3" s="1">
        <f t="shared" si="0"/>
        <v>0.9267563527653212</v>
      </c>
      <c r="D3" s="1">
        <v>0.56999999999999995</v>
      </c>
      <c r="E3" s="1">
        <f t="shared" ref="E3:E11" si="1">D3/27.17*100</f>
        <v>2.0979020979020975</v>
      </c>
      <c r="F3" s="1">
        <v>0.4</v>
      </c>
      <c r="G3" s="1">
        <f t="shared" ref="G3:G12" si="2">F3/26.84*100</f>
        <v>1.490312965722802</v>
      </c>
      <c r="H3" s="1">
        <v>0.37</v>
      </c>
      <c r="I3" s="1">
        <f t="shared" ref="I3:I12" si="3">H3/29.04*100</f>
        <v>1.2741046831955922</v>
      </c>
      <c r="J3" s="1">
        <v>0.48</v>
      </c>
      <c r="K3" s="1">
        <f>J3/30.13*100</f>
        <v>1.5930965814802522</v>
      </c>
    </row>
    <row r="4" spans="1:11" x14ac:dyDescent="0.3">
      <c r="A4" s="1"/>
      <c r="B4" s="1">
        <v>0.56000000000000005</v>
      </c>
      <c r="C4" s="1">
        <f t="shared" si="0"/>
        <v>1.674140508221226</v>
      </c>
      <c r="D4" s="1">
        <v>0.39</v>
      </c>
      <c r="E4" s="1">
        <f t="shared" si="1"/>
        <v>1.4354066985645932</v>
      </c>
      <c r="F4" s="1">
        <v>0.39</v>
      </c>
      <c r="G4" s="1">
        <f t="shared" si="2"/>
        <v>1.4530551415797317</v>
      </c>
      <c r="H4" s="1">
        <v>0.37</v>
      </c>
      <c r="I4" s="1">
        <f t="shared" si="3"/>
        <v>1.2741046831955922</v>
      </c>
      <c r="J4" s="1">
        <v>0.43</v>
      </c>
      <c r="K4" s="1">
        <f>J4/30.13*100</f>
        <v>1.4271490209093927</v>
      </c>
    </row>
    <row r="5" spans="1:11" x14ac:dyDescent="0.3">
      <c r="A5" s="1"/>
      <c r="B5" s="1">
        <v>0.59</v>
      </c>
      <c r="C5" s="1">
        <f t="shared" si="0"/>
        <v>1.7638266068759338</v>
      </c>
      <c r="D5" s="1">
        <v>0.38</v>
      </c>
      <c r="E5" s="1">
        <f t="shared" si="1"/>
        <v>1.3986013986013985</v>
      </c>
      <c r="F5" s="1">
        <v>0.4</v>
      </c>
      <c r="G5" s="1">
        <f t="shared" si="2"/>
        <v>1.490312965722802</v>
      </c>
      <c r="H5" s="1">
        <v>0.44</v>
      </c>
      <c r="I5" s="1">
        <f t="shared" si="3"/>
        <v>1.5151515151515151</v>
      </c>
      <c r="J5" s="1">
        <v>0.47</v>
      </c>
      <c r="K5" s="1">
        <f>J5/30.13*100</f>
        <v>1.5599070693660801</v>
      </c>
    </row>
    <row r="6" spans="1:11" x14ac:dyDescent="0.3">
      <c r="A6" s="1"/>
      <c r="B6" s="1">
        <v>0.3</v>
      </c>
      <c r="C6" s="1">
        <f t="shared" si="0"/>
        <v>0.89686098654708502</v>
      </c>
      <c r="D6" s="1">
        <v>0.44</v>
      </c>
      <c r="E6" s="1">
        <f t="shared" si="1"/>
        <v>1.6194331983805668</v>
      </c>
      <c r="F6" s="1">
        <v>0.49</v>
      </c>
      <c r="G6" s="1">
        <f t="shared" si="2"/>
        <v>1.8256333830104321</v>
      </c>
      <c r="H6" s="1">
        <v>0.42</v>
      </c>
      <c r="I6" s="1">
        <f t="shared" si="3"/>
        <v>1.4462809917355373</v>
      </c>
      <c r="J6" s="1">
        <v>0.43</v>
      </c>
      <c r="K6" s="1">
        <f>J6/30.13*100</f>
        <v>1.4271490209093927</v>
      </c>
    </row>
    <row r="7" spans="1:11" x14ac:dyDescent="0.3">
      <c r="A7" s="1"/>
      <c r="B7" s="1">
        <v>0.71</v>
      </c>
      <c r="C7" s="1">
        <f t="shared" si="0"/>
        <v>2.1225710014947681</v>
      </c>
      <c r="D7" s="1">
        <v>0.5</v>
      </c>
      <c r="E7" s="1">
        <f t="shared" si="1"/>
        <v>1.8402649981597348</v>
      </c>
      <c r="F7" s="1">
        <v>0.38</v>
      </c>
      <c r="G7" s="1">
        <f t="shared" si="2"/>
        <v>1.4157973174366618</v>
      </c>
      <c r="H7" s="1">
        <v>0.57999999999999996</v>
      </c>
      <c r="I7" s="1">
        <f t="shared" si="3"/>
        <v>1.997245179063361</v>
      </c>
      <c r="J7" s="1"/>
      <c r="K7" s="1"/>
    </row>
    <row r="8" spans="1:11" x14ac:dyDescent="0.3">
      <c r="A8" s="1"/>
      <c r="B8" s="1"/>
      <c r="C8" s="1"/>
      <c r="D8" s="1">
        <v>0.43</v>
      </c>
      <c r="E8" s="1">
        <f t="shared" si="1"/>
        <v>1.5826278984173721</v>
      </c>
      <c r="F8" s="1">
        <v>0.37</v>
      </c>
      <c r="G8" s="1">
        <f t="shared" si="2"/>
        <v>1.3785394932935917</v>
      </c>
      <c r="H8" s="1">
        <v>0.46</v>
      </c>
      <c r="I8" s="1">
        <f t="shared" si="3"/>
        <v>1.5840220385674932</v>
      </c>
      <c r="J8" s="1"/>
      <c r="K8" s="1"/>
    </row>
    <row r="9" spans="1:11" x14ac:dyDescent="0.3">
      <c r="A9" s="1"/>
      <c r="B9" s="1"/>
      <c r="C9" s="1"/>
      <c r="D9" s="1">
        <v>0.33</v>
      </c>
      <c r="E9" s="1">
        <f t="shared" si="1"/>
        <v>1.214574898785425</v>
      </c>
      <c r="F9" s="1">
        <v>0.4</v>
      </c>
      <c r="G9" s="1">
        <f t="shared" si="2"/>
        <v>1.490312965722802</v>
      </c>
      <c r="H9" s="1">
        <v>0.42</v>
      </c>
      <c r="I9" s="1">
        <f t="shared" si="3"/>
        <v>1.4462809917355373</v>
      </c>
      <c r="J9" s="1"/>
      <c r="K9" s="1"/>
    </row>
    <row r="10" spans="1:11" x14ac:dyDescent="0.3">
      <c r="A10" s="1"/>
      <c r="B10" s="1"/>
      <c r="C10" s="1"/>
      <c r="D10" s="1">
        <v>0.45</v>
      </c>
      <c r="E10" s="1">
        <f t="shared" si="1"/>
        <v>1.6562384983437615</v>
      </c>
      <c r="F10" s="1">
        <v>0.38</v>
      </c>
      <c r="G10" s="1">
        <f t="shared" si="2"/>
        <v>1.4157973174366618</v>
      </c>
      <c r="H10" s="1">
        <v>0.41</v>
      </c>
      <c r="I10" s="1">
        <f t="shared" si="3"/>
        <v>1.4118457300275482</v>
      </c>
      <c r="J10" s="1"/>
      <c r="K10" s="1"/>
    </row>
    <row r="11" spans="1:11" x14ac:dyDescent="0.3">
      <c r="A11" s="1"/>
      <c r="B11" s="1"/>
      <c r="C11" s="1"/>
      <c r="D11" s="1">
        <v>0.42</v>
      </c>
      <c r="E11" s="1">
        <f t="shared" si="1"/>
        <v>1.5458225984541771</v>
      </c>
      <c r="F11" s="1">
        <v>0.39</v>
      </c>
      <c r="G11" s="1">
        <f t="shared" si="2"/>
        <v>1.4530551415797317</v>
      </c>
      <c r="H11" s="1">
        <v>0.44</v>
      </c>
      <c r="I11" s="1">
        <f t="shared" si="3"/>
        <v>1.5151515151515151</v>
      </c>
      <c r="J11" s="1"/>
      <c r="K11" s="1"/>
    </row>
    <row r="12" spans="1:11" x14ac:dyDescent="0.3">
      <c r="A12" s="1"/>
      <c r="B12" s="1"/>
      <c r="C12" s="1"/>
      <c r="D12" s="1"/>
      <c r="E12" s="1"/>
      <c r="F12" s="1">
        <v>0.4</v>
      </c>
      <c r="G12" s="1">
        <f t="shared" si="2"/>
        <v>1.490312965722802</v>
      </c>
      <c r="H12" s="1">
        <v>0.45</v>
      </c>
      <c r="I12" s="1">
        <f t="shared" si="3"/>
        <v>1.5495867768595042</v>
      </c>
      <c r="J12" s="1"/>
      <c r="K12" s="1"/>
    </row>
    <row r="13" spans="1:1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3">
      <c r="A14" s="1" t="s">
        <v>79</v>
      </c>
      <c r="B14" s="3"/>
      <c r="C14" s="3">
        <f>AVERAGE(C2:C7)</f>
        <v>1.4748380667663179</v>
      </c>
      <c r="D14" s="3"/>
      <c r="E14" s="3">
        <f>AVERAGE(E2:E3,E6:E8,E10:E11)</f>
        <v>1.7403648982596347</v>
      </c>
      <c r="F14" s="3"/>
      <c r="G14" s="3">
        <f>AVERAGE(G2:G5,G7:G12)</f>
        <v>1.4754098360655741</v>
      </c>
      <c r="H14" s="3"/>
      <c r="I14" s="3">
        <f>AVERAGE(I2:I6,I8:I12)</f>
        <v>1.418732782369146</v>
      </c>
      <c r="J14" s="3"/>
      <c r="K14" s="3">
        <f>AVERAGE(K2,K4,K6)</f>
        <v>1.4382121916141166</v>
      </c>
    </row>
    <row r="15" spans="1:11" x14ac:dyDescent="0.3">
      <c r="A15" s="1" t="s">
        <v>4</v>
      </c>
      <c r="B15" s="3"/>
      <c r="C15" s="3">
        <f>STDEV(C2:C3,C4:C5,C6:C7)</f>
        <v>0.48525130980873132</v>
      </c>
      <c r="D15" s="3"/>
      <c r="E15" s="3">
        <f>STDEV(E2:E3,E6:E8,C10:E11)</f>
        <v>0.60034406778915606</v>
      </c>
      <c r="F15" s="3"/>
      <c r="G15" s="3">
        <f>STDEV(G2:G5,G7:G12)</f>
        <v>8.086845800347596E-2</v>
      </c>
      <c r="H15" s="3"/>
      <c r="I15" s="3">
        <f>STDEV(I2:I6,I8:I12)</f>
        <v>0.13658838182409108</v>
      </c>
      <c r="J15" s="3"/>
      <c r="K15" s="3">
        <f>STDEV(K2,K4,K6)</f>
        <v>1.9161973753389475E-2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FC2C2-5E8F-4441-A4D5-EF4B690A7D30}">
  <dimension ref="B1:K18"/>
  <sheetViews>
    <sheetView workbookViewId="0">
      <selection activeCell="N19" sqref="N19"/>
    </sheetView>
  </sheetViews>
  <sheetFormatPr defaultRowHeight="14" x14ac:dyDescent="0.3"/>
  <cols>
    <col min="1" max="16384" width="8.6640625" style="4"/>
  </cols>
  <sheetData>
    <row r="1" spans="2:11" x14ac:dyDescent="0.3">
      <c r="B1" s="4" t="s">
        <v>61</v>
      </c>
      <c r="C1" s="4" t="s">
        <v>62</v>
      </c>
      <c r="D1" s="4" t="s">
        <v>63</v>
      </c>
      <c r="E1" s="4" t="s">
        <v>64</v>
      </c>
      <c r="F1" s="4" t="s">
        <v>65</v>
      </c>
      <c r="G1" s="4" t="s">
        <v>66</v>
      </c>
      <c r="H1" s="4" t="s">
        <v>67</v>
      </c>
      <c r="I1" s="4" t="s">
        <v>68</v>
      </c>
      <c r="J1" s="4" t="s">
        <v>69</v>
      </c>
      <c r="K1" s="4" t="s">
        <v>70</v>
      </c>
    </row>
    <row r="2" spans="2:11" x14ac:dyDescent="0.3">
      <c r="B2" s="4">
        <v>0.67837483617300143</v>
      </c>
      <c r="C2" s="4">
        <v>211.25930680892799</v>
      </c>
      <c r="D2" s="4">
        <v>0.48309305373525563</v>
      </c>
      <c r="E2" s="4">
        <v>163.00279853830341</v>
      </c>
      <c r="F2" s="4">
        <v>0.46605504587155966</v>
      </c>
      <c r="G2" s="4">
        <v>166.3624305026388</v>
      </c>
      <c r="H2" s="4">
        <v>0.52110091743119258</v>
      </c>
      <c r="I2" s="4">
        <v>200.41306981675001</v>
      </c>
      <c r="J2" s="4">
        <v>0.4791612057667104</v>
      </c>
      <c r="K2" s="4">
        <v>204.34034885453701</v>
      </c>
    </row>
    <row r="3" spans="2:11" x14ac:dyDescent="0.3">
      <c r="B3" s="4">
        <v>0.69934469200524241</v>
      </c>
      <c r="C3" s="4">
        <v>204.725056826426</v>
      </c>
      <c r="D3" s="4">
        <v>0.38217562254259507</v>
      </c>
      <c r="E3" s="4">
        <v>188.61076694642338</v>
      </c>
      <c r="F3" s="4">
        <v>0.90773263433813889</v>
      </c>
      <c r="G3" s="4">
        <v>143.422737241726</v>
      </c>
      <c r="H3" s="4">
        <v>0.62201834862385319</v>
      </c>
      <c r="I3" s="4">
        <v>145.09938571171801</v>
      </c>
      <c r="J3" s="4">
        <v>0.47260812581913503</v>
      </c>
      <c r="K3" s="4">
        <v>225.84433153028499</v>
      </c>
    </row>
    <row r="4" spans="2:11" x14ac:dyDescent="0.3">
      <c r="B4" s="4">
        <v>0.65609436435124513</v>
      </c>
      <c r="C4" s="4">
        <v>235.10488489081899</v>
      </c>
      <c r="D4" s="4">
        <v>0.40314547837483616</v>
      </c>
      <c r="E4" s="4">
        <v>156.312671579252</v>
      </c>
      <c r="F4" s="4">
        <v>1.2183486238532111</v>
      </c>
      <c r="G4" s="4">
        <v>76.068062572872137</v>
      </c>
      <c r="H4" s="4">
        <v>0.7832241153342071</v>
      </c>
      <c r="I4" s="4">
        <v>116.00793856429303</v>
      </c>
      <c r="J4" s="4">
        <v>0.62595019659239848</v>
      </c>
      <c r="K4" s="4">
        <v>226.76695154385999</v>
      </c>
    </row>
    <row r="5" spans="2:11" x14ac:dyDescent="0.3">
      <c r="B5" s="4">
        <v>0.51323722149410234</v>
      </c>
      <c r="C5" s="4">
        <v>249.9522224785</v>
      </c>
      <c r="D5" s="4">
        <v>0.45294888597640892</v>
      </c>
      <c r="E5" s="4">
        <v>167.16421702840836</v>
      </c>
      <c r="F5" s="4">
        <v>0.72686762778505898</v>
      </c>
      <c r="G5" s="4">
        <v>125.0024235232988</v>
      </c>
      <c r="H5" s="4">
        <v>0.70458715596330268</v>
      </c>
      <c r="I5" s="4">
        <v>118.63883288530469</v>
      </c>
      <c r="J5" s="4">
        <v>0.5577981651376146</v>
      </c>
      <c r="K5" s="4">
        <v>186.60176146010201</v>
      </c>
    </row>
    <row r="6" spans="2:11" x14ac:dyDescent="0.3">
      <c r="B6" s="4">
        <v>0.81467889908256885</v>
      </c>
      <c r="C6" s="4">
        <v>210.888929251832</v>
      </c>
      <c r="D6" s="4">
        <v>0.75832241153342073</v>
      </c>
      <c r="E6" s="4">
        <v>105.43930659470952</v>
      </c>
      <c r="F6" s="4">
        <v>0.99685452162516386</v>
      </c>
      <c r="G6" s="4">
        <v>90.539269601342838</v>
      </c>
      <c r="H6" s="4">
        <v>0.56435124508518997</v>
      </c>
      <c r="I6" s="4">
        <v>158.85274693808924</v>
      </c>
      <c r="J6" s="4">
        <v>0.56435124508518997</v>
      </c>
      <c r="K6" s="4">
        <v>178.45948888522599</v>
      </c>
    </row>
    <row r="7" spans="2:11" x14ac:dyDescent="0.3">
      <c r="B7" s="4">
        <v>1.0296199213630406</v>
      </c>
      <c r="C7" s="4">
        <v>171.18791016066899</v>
      </c>
      <c r="D7" s="4">
        <v>0.46998689384010489</v>
      </c>
      <c r="E7" s="4">
        <v>152.08233132832382</v>
      </c>
      <c r="F7" s="4">
        <v>0.54862385321100915</v>
      </c>
      <c r="G7" s="4">
        <v>139.1164095371669</v>
      </c>
      <c r="H7" s="4">
        <v>0.64823066841415466</v>
      </c>
      <c r="I7" s="4">
        <v>160.7242375359981</v>
      </c>
      <c r="J7" s="4">
        <v>0.55910878112712969</v>
      </c>
      <c r="K7" s="4">
        <v>178.67435604017399</v>
      </c>
    </row>
    <row r="8" spans="2:11" x14ac:dyDescent="0.3">
      <c r="B8" s="4">
        <v>0.4778505897771953</v>
      </c>
      <c r="C8" s="4">
        <v>252.537823155734</v>
      </c>
      <c r="D8" s="4">
        <v>0.25373525557011795</v>
      </c>
      <c r="E8" s="4">
        <v>350.92880787345592</v>
      </c>
      <c r="F8" s="4">
        <v>0.76749672346002618</v>
      </c>
      <c r="G8" s="4">
        <v>141.811229361302</v>
      </c>
      <c r="H8" s="4">
        <v>0.56041939711664479</v>
      </c>
      <c r="I8" s="4">
        <v>149.15864489976568</v>
      </c>
      <c r="J8" s="4">
        <v>0.53813892529488849</v>
      </c>
      <c r="K8" s="4">
        <v>164.33911733331942</v>
      </c>
    </row>
    <row r="9" spans="2:11" x14ac:dyDescent="0.3">
      <c r="B9" s="4">
        <v>0.64298820445609439</v>
      </c>
      <c r="C9" s="4">
        <v>205.29424872184899</v>
      </c>
      <c r="D9" s="4">
        <v>0.78715596330275228</v>
      </c>
      <c r="E9" s="4">
        <v>113.11990876507005</v>
      </c>
      <c r="F9" s="4">
        <v>1.1908256880733945</v>
      </c>
      <c r="G9" s="4">
        <v>85.456202263200638</v>
      </c>
      <c r="H9" s="4">
        <v>0.599737876802097</v>
      </c>
      <c r="I9" s="4">
        <v>169.47987943955701</v>
      </c>
      <c r="J9" s="4">
        <v>0.41756225425950194</v>
      </c>
      <c r="K9" s="4">
        <v>281.42520930504651</v>
      </c>
    </row>
    <row r="10" spans="2:11" x14ac:dyDescent="0.3">
      <c r="B10" s="4">
        <v>0.70589777195281778</v>
      </c>
      <c r="C10" s="4">
        <v>213.00635392168999</v>
      </c>
      <c r="D10" s="4">
        <v>0.99947575360419405</v>
      </c>
      <c r="E10" s="4">
        <v>117.27155825148201</v>
      </c>
      <c r="F10" s="4">
        <v>0.60235910878112708</v>
      </c>
      <c r="G10" s="4">
        <v>135.75654847132151</v>
      </c>
      <c r="H10" s="4">
        <v>0.69672346002621222</v>
      </c>
      <c r="I10" s="4">
        <v>186.93311056632999</v>
      </c>
      <c r="J10" s="4">
        <v>0.42542595019659241</v>
      </c>
      <c r="K10" s="4">
        <v>192.21722020153837</v>
      </c>
    </row>
    <row r="11" spans="2:11" x14ac:dyDescent="0.3">
      <c r="D11" s="4">
        <v>0.72293577981651369</v>
      </c>
      <c r="E11" s="4">
        <v>112.27616760366067</v>
      </c>
      <c r="F11" s="4">
        <v>0.41494102228047181</v>
      </c>
      <c r="G11" s="4">
        <v>173.71730777503811</v>
      </c>
      <c r="H11" s="4">
        <v>0.31140235910878117</v>
      </c>
      <c r="I11" s="4">
        <v>223.69611587801549</v>
      </c>
      <c r="J11" s="4">
        <v>0.51585845347313242</v>
      </c>
      <c r="K11" s="4">
        <v>202.64947037911199</v>
      </c>
    </row>
    <row r="12" spans="2:11" x14ac:dyDescent="0.3">
      <c r="F12" s="4">
        <v>0.60629095674967237</v>
      </c>
      <c r="G12" s="4">
        <v>140.87982526688</v>
      </c>
      <c r="H12" s="4">
        <v>0.67968545216251641</v>
      </c>
      <c r="I12" s="4">
        <v>130.11500496926521</v>
      </c>
      <c r="J12" s="4">
        <v>0.53813892529488849</v>
      </c>
      <c r="K12" s="4">
        <v>151.95740301368576</v>
      </c>
    </row>
    <row r="13" spans="2:11" x14ac:dyDescent="0.3">
      <c r="F13" s="4">
        <v>0.92346002621231982</v>
      </c>
      <c r="G13" s="4">
        <v>85.928196378737994</v>
      </c>
      <c r="J13" s="4">
        <v>0.60629095674967237</v>
      </c>
      <c r="K13" s="4">
        <v>129.88074263125517</v>
      </c>
    </row>
    <row r="16" spans="2:11" x14ac:dyDescent="0.3">
      <c r="B16" s="4" t="s">
        <v>112</v>
      </c>
      <c r="C16" s="4">
        <f>AVERAGE(C2:C10)</f>
        <v>217.10630402404968</v>
      </c>
      <c r="E16" s="4">
        <f>AVERAGE(E2:E7,E9:E11)</f>
        <v>141.69774740395923</v>
      </c>
      <c r="G16" s="4">
        <f>AVERAGE(G2:G13)</f>
        <v>125.33838687462715</v>
      </c>
      <c r="I16" s="4">
        <f>AVERAGE(I2:I12)</f>
        <v>159.9199061095533</v>
      </c>
      <c r="K16" s="4">
        <f>AVERAGE(K2:K13)</f>
        <v>193.5963667648451</v>
      </c>
    </row>
    <row r="17" spans="3:11" x14ac:dyDescent="0.3">
      <c r="C17" s="9">
        <f>AVERAGE(C2:C6,C8:C10)</f>
        <v>222.84610325697224</v>
      </c>
      <c r="D17" s="9"/>
      <c r="E17" s="9">
        <f>AVERAGE(E2,E4:E7,E9:E11)</f>
        <v>135.83361996115121</v>
      </c>
      <c r="F17" s="9"/>
      <c r="G17" s="9">
        <f>AVERAGE(G2:G3,G5,G7:G8,G10:G12)</f>
        <v>145.75861395992152</v>
      </c>
      <c r="H17" s="9"/>
      <c r="I17" s="9">
        <f>AVERAGE(I2:I3,I6:I11)</f>
        <v>174.29464884827794</v>
      </c>
      <c r="J17" s="9"/>
      <c r="K17" s="9">
        <f>AVERAGE(K2:K5,K7,K9:K11)</f>
        <v>212.31495616433185</v>
      </c>
    </row>
    <row r="18" spans="3:11" x14ac:dyDescent="0.3">
      <c r="C18" s="9">
        <f>STDEV(C2:C6,C8:C10)</f>
        <v>19.91806827769156</v>
      </c>
      <c r="D18" s="9"/>
      <c r="E18" s="9">
        <f>STDEV(E2,E4:E7,E9:E11)</f>
        <v>26.028592550786392</v>
      </c>
      <c r="F18" s="9"/>
      <c r="G18" s="9">
        <f>STDEV(G2:G3,G5,G7:G8,G10:G12)</f>
        <v>16.151188348008905</v>
      </c>
      <c r="H18" s="9"/>
      <c r="I18" s="9">
        <f>STDEV(I2:I3,I6:I11)</f>
        <v>27.287831038592287</v>
      </c>
      <c r="J18" s="9"/>
      <c r="K18" s="9">
        <f>STDEV(K2:K5,K7,K9:K11)</f>
        <v>32.780491986344181</v>
      </c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F2461-7F0D-4A1A-8E4E-A9E200DB0930}">
  <dimension ref="A1:M19"/>
  <sheetViews>
    <sheetView workbookViewId="0">
      <selection activeCell="N17" sqref="N17"/>
    </sheetView>
  </sheetViews>
  <sheetFormatPr defaultRowHeight="14" x14ac:dyDescent="0.3"/>
  <sheetData>
    <row r="1" spans="1:13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4"/>
    </row>
    <row r="2" spans="1:13" x14ac:dyDescent="0.3">
      <c r="A2" s="10"/>
      <c r="B2" s="10" t="s">
        <v>6</v>
      </c>
      <c r="C2" s="10"/>
      <c r="D2" s="10" t="s">
        <v>25</v>
      </c>
      <c r="E2" s="10"/>
      <c r="F2" s="10" t="s">
        <v>9</v>
      </c>
      <c r="G2" s="10"/>
      <c r="H2" s="10" t="s">
        <v>10</v>
      </c>
      <c r="I2" s="10"/>
      <c r="J2" s="10" t="s">
        <v>11</v>
      </c>
      <c r="K2" s="4"/>
      <c r="L2" s="4"/>
      <c r="M2" s="4"/>
    </row>
    <row r="3" spans="1:13" ht="15" x14ac:dyDescent="0.3">
      <c r="A3" s="4"/>
      <c r="B3" s="11">
        <v>1.175</v>
      </c>
      <c r="C3" s="4">
        <v>1.5186170000000001</v>
      </c>
      <c r="D3" s="11">
        <v>1.236</v>
      </c>
      <c r="E3" s="5">
        <v>0.89921200000000001</v>
      </c>
      <c r="F3" s="11">
        <v>1.105</v>
      </c>
      <c r="G3" s="4">
        <v>2.5783930000000002</v>
      </c>
      <c r="H3" s="11">
        <v>1.133</v>
      </c>
      <c r="I3" s="4">
        <v>2.1017950000000001</v>
      </c>
      <c r="J3" s="11">
        <v>1.0589999999999999</v>
      </c>
      <c r="K3" s="4">
        <v>3.5464289999999998</v>
      </c>
      <c r="L3" s="4"/>
      <c r="M3" s="4"/>
    </row>
    <row r="4" spans="1:13" ht="15" x14ac:dyDescent="0.3">
      <c r="A4" s="4"/>
      <c r="B4" s="11">
        <v>1.3029999999999999</v>
      </c>
      <c r="C4" s="5">
        <v>0.45482699999999998</v>
      </c>
      <c r="D4" s="11">
        <v>1.2909999999999999</v>
      </c>
      <c r="E4" s="4">
        <v>0.519482</v>
      </c>
      <c r="F4" s="11">
        <v>1.1559999999999999</v>
      </c>
      <c r="G4" s="4">
        <v>1.764467</v>
      </c>
      <c r="H4" s="11">
        <v>1.101</v>
      </c>
      <c r="I4" s="4">
        <v>2.6529500000000001</v>
      </c>
      <c r="J4" s="11">
        <v>1.288</v>
      </c>
      <c r="K4" s="5">
        <v>0.536578</v>
      </c>
      <c r="L4" s="4"/>
      <c r="M4" s="4"/>
    </row>
    <row r="5" spans="1:13" ht="15" x14ac:dyDescent="0.3">
      <c r="A5" s="4"/>
      <c r="B5" s="11">
        <v>1.3160000000000001</v>
      </c>
      <c r="C5" s="5">
        <v>0.39121600000000001</v>
      </c>
      <c r="D5" s="11">
        <v>1.296</v>
      </c>
      <c r="E5" s="4">
        <v>0.49182700000000001</v>
      </c>
      <c r="F5" s="11">
        <v>1.3149999999999999</v>
      </c>
      <c r="G5" s="4">
        <v>0.39588099999999998</v>
      </c>
      <c r="H5" s="11">
        <v>1.048</v>
      </c>
      <c r="I5" s="4">
        <v>3.8172030000000001</v>
      </c>
      <c r="J5" s="11">
        <v>1.4019999999999999</v>
      </c>
      <c r="K5" s="4">
        <v>0.111052</v>
      </c>
      <c r="L5" s="4"/>
      <c r="M5" s="4"/>
    </row>
    <row r="6" spans="1:13" ht="15" x14ac:dyDescent="0.3">
      <c r="A6" s="4"/>
      <c r="B6" s="11">
        <v>1.2509999999999999</v>
      </c>
      <c r="C6" s="4">
        <v>0.78087700000000004</v>
      </c>
      <c r="D6" s="11">
        <v>1.2050000000000001</v>
      </c>
      <c r="E6" s="5">
        <v>1.184153</v>
      </c>
      <c r="F6" s="11">
        <v>1.2210000000000001</v>
      </c>
      <c r="G6" s="4">
        <v>1.0299529999999999</v>
      </c>
      <c r="H6" s="11">
        <v>1.0569999999999999</v>
      </c>
      <c r="I6" s="4">
        <v>3.5944389999999999</v>
      </c>
      <c r="J6" s="11">
        <v>1.44</v>
      </c>
      <c r="K6" s="4">
        <v>4.8778000000000002E-2</v>
      </c>
      <c r="L6" s="4"/>
      <c r="M6" s="4"/>
    </row>
    <row r="7" spans="1:13" x14ac:dyDescent="0.3">
      <c r="A7" s="4"/>
      <c r="B7" s="11">
        <v>1.5109999999999999</v>
      </c>
      <c r="C7" s="4">
        <v>1.635E-3</v>
      </c>
      <c r="D7" s="11">
        <v>1.399</v>
      </c>
      <c r="E7" s="4">
        <v>0.11734</v>
      </c>
      <c r="F7" s="11">
        <v>1.2290000000000001</v>
      </c>
      <c r="G7" s="4">
        <v>0.95862499999999995</v>
      </c>
      <c r="H7" s="11">
        <v>1.0129999999999999</v>
      </c>
      <c r="I7" s="4">
        <v>4.7966870000000004</v>
      </c>
      <c r="J7" s="11">
        <v>1.377</v>
      </c>
      <c r="K7" s="4">
        <v>0.17033499999999999</v>
      </c>
      <c r="L7" s="4"/>
      <c r="M7" s="4"/>
    </row>
    <row r="8" spans="1:13" ht="15" x14ac:dyDescent="0.3">
      <c r="A8" s="4" t="s">
        <v>119</v>
      </c>
      <c r="B8" s="12">
        <f>AVERAGE(B3:B7)</f>
        <v>1.3111999999999999</v>
      </c>
      <c r="C8" s="5">
        <v>0.41491600000000001</v>
      </c>
      <c r="D8" s="12">
        <f>AVERAGE(D3:D7)</f>
        <v>1.2854000000000001</v>
      </c>
      <c r="E8" s="4">
        <v>0.55405899999999997</v>
      </c>
      <c r="F8" s="12">
        <f>AVERAGE(F3:F7)</f>
        <v>1.2052</v>
      </c>
      <c r="G8" s="4">
        <v>1.184153</v>
      </c>
      <c r="H8" s="12">
        <f>AVERAGE(H3:H7)</f>
        <v>1.0704</v>
      </c>
      <c r="I8" s="4">
        <v>3.2917179999999999</v>
      </c>
      <c r="J8" s="12">
        <f>AVERAGE(J3:J7)</f>
        <v>1.3131999999999999</v>
      </c>
      <c r="K8" s="5">
        <v>0.40532299999999999</v>
      </c>
      <c r="L8" s="4"/>
      <c r="M8" s="4"/>
    </row>
    <row r="9" spans="1:13" x14ac:dyDescent="0.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x14ac:dyDescent="0.3">
      <c r="A10" s="4"/>
      <c r="B10" s="4"/>
      <c r="C10" s="4">
        <f>AVERAGE(C4:C5,C8)</f>
        <v>0.42031966666666665</v>
      </c>
      <c r="D10" s="4"/>
      <c r="E10" s="4">
        <f>AVERAGE(E4:E5,E8)</f>
        <v>0.52178933333333333</v>
      </c>
      <c r="F10" s="4"/>
      <c r="G10" s="4">
        <f>AVERAGE(G6:G8)</f>
        <v>1.057577</v>
      </c>
      <c r="H10" s="4"/>
      <c r="I10" s="4"/>
      <c r="J10" s="4"/>
      <c r="K10" s="4"/>
      <c r="L10" s="4"/>
      <c r="M10" s="4"/>
    </row>
    <row r="11" spans="1:13" ht="15" x14ac:dyDescent="0.3">
      <c r="A11" s="4"/>
      <c r="B11" s="4" t="s">
        <v>6</v>
      </c>
      <c r="C11" s="5">
        <v>0.45482699999999998</v>
      </c>
      <c r="D11" s="4" t="s">
        <v>8</v>
      </c>
      <c r="E11" s="11">
        <v>1.133</v>
      </c>
      <c r="F11" s="4" t="s">
        <v>9</v>
      </c>
      <c r="G11" s="4">
        <v>0.65839300000000001</v>
      </c>
      <c r="H11" s="4" t="s">
        <v>10</v>
      </c>
      <c r="I11" s="4">
        <v>0.519482</v>
      </c>
      <c r="J11" s="4" t="s">
        <v>11</v>
      </c>
      <c r="K11" s="4">
        <v>0.536578</v>
      </c>
      <c r="L11" s="4"/>
      <c r="M11" s="4"/>
    </row>
    <row r="12" spans="1:13" ht="15" x14ac:dyDescent="0.3">
      <c r="A12" s="4"/>
      <c r="B12" s="4"/>
      <c r="C12" s="5">
        <v>0.39121600000000001</v>
      </c>
      <c r="D12" s="4"/>
      <c r="E12" s="11">
        <v>1.101</v>
      </c>
      <c r="F12" s="4"/>
      <c r="G12" s="4">
        <v>0.78446700000000003</v>
      </c>
      <c r="H12" s="4"/>
      <c r="I12" s="4">
        <v>0.55405899999999997</v>
      </c>
      <c r="J12" s="4"/>
      <c r="K12" s="4">
        <v>0.40532299999999999</v>
      </c>
      <c r="L12" s="4"/>
      <c r="M12" s="4"/>
    </row>
    <row r="13" spans="1:13" ht="15" x14ac:dyDescent="0.3">
      <c r="A13" s="4"/>
      <c r="B13" s="4"/>
      <c r="C13" s="5">
        <v>0.48182700000000001</v>
      </c>
      <c r="D13" s="4"/>
      <c r="E13" s="11">
        <v>1.048</v>
      </c>
      <c r="F13" s="4"/>
      <c r="G13" s="4">
        <v>0.58388099999999998</v>
      </c>
      <c r="H13" s="4"/>
      <c r="I13" s="4">
        <v>0.66529499999999997</v>
      </c>
      <c r="J13" s="4"/>
      <c r="K13" s="4">
        <v>0.47777999999999998</v>
      </c>
      <c r="L13" s="4"/>
      <c r="M13" s="4"/>
    </row>
    <row r="14" spans="1:13" ht="15" x14ac:dyDescent="0.3">
      <c r="A14" s="4"/>
      <c r="B14" s="4"/>
      <c r="C14" s="5">
        <v>0.35633500000000001</v>
      </c>
      <c r="D14" s="4"/>
      <c r="E14" s="11">
        <v>1.0569999999999999</v>
      </c>
      <c r="F14" s="4"/>
      <c r="G14" s="4">
        <v>0.7129953</v>
      </c>
      <c r="H14" s="4"/>
      <c r="I14" s="4">
        <v>0.63917179999999996</v>
      </c>
      <c r="J14" s="4"/>
      <c r="K14" s="4">
        <v>0.43778</v>
      </c>
      <c r="L14" s="4"/>
      <c r="M14" s="4"/>
    </row>
    <row r="15" spans="1:13" x14ac:dyDescent="0.3">
      <c r="A15" s="4"/>
      <c r="B15" s="4"/>
      <c r="C15" s="4"/>
      <c r="D15" s="4"/>
      <c r="E15" s="11"/>
      <c r="F15" s="4"/>
      <c r="G15" s="4"/>
      <c r="H15" s="4"/>
      <c r="I15" s="4"/>
      <c r="J15" s="4"/>
      <c r="K15" s="4"/>
      <c r="L15" s="4"/>
      <c r="M15" s="4"/>
    </row>
    <row r="16" spans="1:13" x14ac:dyDescent="0.3">
      <c r="A16" s="4"/>
      <c r="B16" s="4"/>
      <c r="C16" s="13">
        <f>AVERAGE(C11:C14)</f>
        <v>0.42105124999999999</v>
      </c>
      <c r="D16" s="13"/>
      <c r="E16" s="14">
        <f>AVERAGE(E11:E15)</f>
        <v>1.0847500000000001</v>
      </c>
      <c r="F16" s="13"/>
      <c r="G16" s="13">
        <f>AVERAGE(G11:G14)</f>
        <v>0.68493407499999992</v>
      </c>
      <c r="H16" s="13"/>
      <c r="I16" s="13">
        <f>AVERAGE(I11:I14)</f>
        <v>0.59450194999999995</v>
      </c>
      <c r="J16" s="13"/>
      <c r="K16" s="13">
        <f>AVERAGE(K11:K14)</f>
        <v>0.46436525000000001</v>
      </c>
      <c r="L16" s="4"/>
      <c r="M16" s="4"/>
    </row>
    <row r="17" spans="1:13" x14ac:dyDescent="0.3">
      <c r="A17" s="4"/>
      <c r="B17" s="4"/>
      <c r="C17" s="13">
        <f>STDEV(C11:C14)</f>
        <v>5.7482832894555226E-2</v>
      </c>
      <c r="D17" s="13"/>
      <c r="E17" s="13">
        <f>STDEV(E11:E15)</f>
        <v>3.9634791114205037E-2</v>
      </c>
      <c r="F17" s="13"/>
      <c r="G17" s="13">
        <f>STDEV(G11:G14)</f>
        <v>8.4873215517162315E-2</v>
      </c>
      <c r="H17" s="13"/>
      <c r="I17" s="13">
        <f>STDEV(I11:I14)</f>
        <v>6.8970226740794935E-2</v>
      </c>
      <c r="J17" s="13"/>
      <c r="K17" s="13">
        <f>AVERAGE(STDEV(K11:K14))</f>
        <v>5.6531405969749537E-2</v>
      </c>
      <c r="L17" s="4"/>
      <c r="M17" s="4"/>
    </row>
    <row r="18" spans="1:13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6E566-981A-45DC-BD76-7CDACDA0214A}">
  <dimension ref="A1:K39"/>
  <sheetViews>
    <sheetView topLeftCell="A49" workbookViewId="0">
      <selection activeCell="A15" sqref="A15"/>
    </sheetView>
  </sheetViews>
  <sheetFormatPr defaultRowHeight="14" x14ac:dyDescent="0.3"/>
  <sheetData>
    <row r="1" spans="1:11" x14ac:dyDescent="0.3">
      <c r="A1" s="15"/>
      <c r="B1" s="15" t="s">
        <v>5</v>
      </c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3">
      <c r="A2" s="15"/>
      <c r="B2" s="15" t="s">
        <v>6</v>
      </c>
      <c r="C2" s="15" t="s">
        <v>8</v>
      </c>
      <c r="D2" s="15" t="s">
        <v>9</v>
      </c>
      <c r="E2" s="15" t="s">
        <v>10</v>
      </c>
      <c r="F2" s="15" t="s">
        <v>11</v>
      </c>
      <c r="G2" s="15"/>
      <c r="H2" s="15"/>
      <c r="I2" s="15"/>
      <c r="J2" s="15"/>
      <c r="K2" s="15"/>
    </row>
    <row r="3" spans="1:11" x14ac:dyDescent="0.3">
      <c r="A3" s="15"/>
      <c r="B3" s="15">
        <v>-4.425294385971231</v>
      </c>
      <c r="C3" s="15">
        <v>-5.4081909429776731</v>
      </c>
      <c r="D3" s="15">
        <v>-5.076257262093252</v>
      </c>
      <c r="E3" s="15">
        <v>-5.1023408093815172</v>
      </c>
      <c r="F3" s="15">
        <v>-4.7051068876434732</v>
      </c>
      <c r="G3" s="15"/>
      <c r="H3" s="15"/>
      <c r="I3" s="15"/>
      <c r="J3" s="15"/>
      <c r="K3" s="15"/>
    </row>
    <row r="4" spans="1:11" x14ac:dyDescent="0.3">
      <c r="A4" s="15"/>
      <c r="B4" s="15">
        <v>-3.6880360525508058</v>
      </c>
      <c r="C4" s="15">
        <v>-4.9848757319375725</v>
      </c>
      <c r="D4" s="15">
        <v>-5.3749653008935718</v>
      </c>
      <c r="E4" s="15">
        <v>-5.2628467727071779</v>
      </c>
      <c r="F4" s="15">
        <v>-5.0509551721771482</v>
      </c>
      <c r="G4" s="15"/>
      <c r="H4" s="15"/>
      <c r="I4" s="15"/>
      <c r="J4" s="15"/>
      <c r="K4" s="15"/>
    </row>
    <row r="5" spans="1:11" x14ac:dyDescent="0.3">
      <c r="A5" s="15"/>
      <c r="B5" s="15">
        <v>-4.0446588521711337</v>
      </c>
      <c r="C5" s="15">
        <v>-5.1086713814183575</v>
      </c>
      <c r="D5" s="15">
        <v>-4.8728520775512667</v>
      </c>
      <c r="E5" s="15">
        <v>-5.441313910909729</v>
      </c>
      <c r="F5" s="15">
        <v>-5.2397301253614676</v>
      </c>
      <c r="G5" s="15"/>
      <c r="H5" s="15"/>
      <c r="I5" s="15"/>
      <c r="J5" s="15"/>
      <c r="K5" s="15"/>
    </row>
    <row r="6" spans="1:11" x14ac:dyDescent="0.3">
      <c r="A6" s="15"/>
      <c r="B6" s="15">
        <v>-4.1159801908972753</v>
      </c>
      <c r="C6" s="15">
        <v>-5.7797007054878096</v>
      </c>
      <c r="D6" s="15">
        <v>-5.208854604276274</v>
      </c>
      <c r="E6" s="15">
        <v>-5.4774582945005683</v>
      </c>
      <c r="F6" s="15">
        <v>-5.0433857587253685</v>
      </c>
      <c r="G6" s="15"/>
      <c r="H6" s="15"/>
      <c r="I6" s="15"/>
      <c r="J6" s="15"/>
      <c r="K6" s="15"/>
    </row>
    <row r="7" spans="1:11" x14ac:dyDescent="0.3">
      <c r="A7" s="15"/>
      <c r="B7" s="15">
        <v>-3.9934551621393726</v>
      </c>
      <c r="C7" s="15">
        <v>-5.33930607837019</v>
      </c>
      <c r="D7" s="15">
        <v>-5.2565895923498633</v>
      </c>
      <c r="E7" s="15">
        <v>-5.4609569656149466</v>
      </c>
      <c r="F7" s="15">
        <v>-4.5876591280321257</v>
      </c>
      <c r="G7" s="15"/>
      <c r="H7" s="15"/>
      <c r="I7" s="15"/>
      <c r="J7" s="15"/>
      <c r="K7" s="15"/>
    </row>
    <row r="8" spans="1:11" x14ac:dyDescent="0.3">
      <c r="A8" s="15"/>
      <c r="B8" s="15">
        <v>-4.0690501419985035</v>
      </c>
      <c r="C8" s="15">
        <v>-5.3507553176360725</v>
      </c>
      <c r="D8" s="15">
        <v>-5.1746849735582678</v>
      </c>
      <c r="E8" s="15">
        <v>-5.3457781062814131</v>
      </c>
      <c r="F8" s="15">
        <v>-4.8372095946114264</v>
      </c>
      <c r="G8" s="15"/>
      <c r="H8" s="15"/>
      <c r="I8" s="15"/>
      <c r="J8" s="15"/>
      <c r="K8" s="15"/>
    </row>
    <row r="9" spans="1:11" x14ac:dyDescent="0.3">
      <c r="A9" s="15"/>
      <c r="B9" s="15">
        <v>-4.208232329308994</v>
      </c>
      <c r="C9" s="15">
        <v>-5.3116417943720959</v>
      </c>
      <c r="D9" s="15">
        <v>-5.1390627016544519</v>
      </c>
      <c r="E9" s="15">
        <v>-5.0300590718602356</v>
      </c>
      <c r="F9" s="15">
        <v>-5.4069807797694516</v>
      </c>
      <c r="G9" s="15"/>
      <c r="H9" s="15"/>
      <c r="I9" s="15"/>
      <c r="J9" s="15"/>
      <c r="K9" s="15"/>
    </row>
    <row r="10" spans="1:11" x14ac:dyDescent="0.3">
      <c r="A10" s="15"/>
      <c r="B10" s="15">
        <v>-4.2591554905825877</v>
      </c>
      <c r="C10" s="15">
        <v>-5.3927375029266527</v>
      </c>
      <c r="D10" s="15">
        <v>-5.3845863287159705</v>
      </c>
      <c r="E10" s="15">
        <v>-5.1577589968488153</v>
      </c>
      <c r="F10" s="15">
        <v>-5.0872324883073778</v>
      </c>
      <c r="G10" s="15"/>
      <c r="H10" s="15"/>
      <c r="I10" s="15"/>
      <c r="J10" s="15"/>
      <c r="K10" s="15"/>
    </row>
    <row r="11" spans="1:11" x14ac:dyDescent="0.3">
      <c r="A11" s="15"/>
      <c r="B11" s="15">
        <v>-3.8726559311645996</v>
      </c>
      <c r="C11" s="15">
        <v>-5.2578723547108801</v>
      </c>
      <c r="D11" s="15">
        <v>-5.0541940836621571</v>
      </c>
      <c r="E11" s="15">
        <v>-5.5762955195008779</v>
      </c>
      <c r="F11" s="15">
        <v>-5.1692561961469359</v>
      </c>
      <c r="G11" s="15"/>
      <c r="H11" s="15"/>
      <c r="I11" s="15"/>
      <c r="J11" s="15"/>
      <c r="K11" s="15"/>
    </row>
    <row r="12" spans="1:11" x14ac:dyDescent="0.3">
      <c r="A12" s="15"/>
      <c r="B12" s="15">
        <v>-3.8779772212824968</v>
      </c>
      <c r="C12" s="15">
        <v>-5.5217141779910399</v>
      </c>
      <c r="D12" s="15">
        <v>-5.0644049758639378</v>
      </c>
      <c r="E12" s="15">
        <v>-5.1991671191929427</v>
      </c>
      <c r="F12" s="15">
        <v>-5.0144191247713321</v>
      </c>
      <c r="G12" s="15"/>
      <c r="H12" s="15"/>
      <c r="I12" s="15"/>
      <c r="J12" s="15"/>
      <c r="K12" s="15"/>
    </row>
    <row r="13" spans="1:11" x14ac:dyDescent="0.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</row>
    <row r="14" spans="1:11" x14ac:dyDescent="0.3">
      <c r="A14" s="15"/>
      <c r="B14" s="9">
        <f>AVERAGE(B3:B12)</f>
        <v>-4.0554495758067004</v>
      </c>
      <c r="C14" s="15">
        <f>AVERAGE(C3:C12)</f>
        <v>-5.3455465987828346</v>
      </c>
      <c r="D14" s="15">
        <f>AVERAGE(D3:D12)</f>
        <v>-5.160645190061901</v>
      </c>
      <c r="E14" s="15">
        <f>AVERAGE(E3:E12)</f>
        <v>-5.3053975566798224</v>
      </c>
      <c r="F14" s="15">
        <f>AVERAGE(F3:F12)</f>
        <v>-5.0141935255546111</v>
      </c>
      <c r="G14" s="15"/>
      <c r="H14" s="15"/>
      <c r="I14" s="15"/>
      <c r="J14" s="15"/>
      <c r="K14" s="15"/>
    </row>
    <row r="15" spans="1:11" x14ac:dyDescent="0.3">
      <c r="A15" s="15" t="s">
        <v>112</v>
      </c>
      <c r="B15" s="9"/>
      <c r="C15" s="9">
        <f>AVERAGE(C3,C6:C12)</f>
        <v>-5.4202398593090528</v>
      </c>
      <c r="D15" s="9">
        <f>AVERAGE(D4,D6:D10)</f>
        <v>-5.2564572502414002</v>
      </c>
      <c r="E15" s="9">
        <f>AVERAGE(E3:E4,E8:E10,E12)</f>
        <v>-5.1829918127120171</v>
      </c>
      <c r="F15" s="9">
        <f>AVERAGE(F3:F4,F6:F8,F10:F12)</f>
        <v>-4.9369030438018981</v>
      </c>
      <c r="G15" s="15"/>
      <c r="H15" s="15"/>
      <c r="I15" s="15"/>
      <c r="J15" s="15"/>
      <c r="K15" s="15"/>
    </row>
    <row r="16" spans="1:11" x14ac:dyDescent="0.3">
      <c r="A16" s="15" t="s">
        <v>4</v>
      </c>
      <c r="B16" s="9">
        <f>STDEV(B3:B12)</f>
        <v>0.21326435892983836</v>
      </c>
      <c r="C16" s="9">
        <f>STDEV(C3,C6:C11,C12)</f>
        <v>0.16472740164323407</v>
      </c>
      <c r="D16" s="9">
        <f>STDEV(D4,D6:D10)</f>
        <v>0.10314594854797858</v>
      </c>
      <c r="E16" s="9">
        <f>STDEV(E3:E4,E8:E10,E12)</f>
        <v>0.11284284213780058</v>
      </c>
      <c r="F16" s="9">
        <f>STDEV(F3:F4,F6:F8,F10:F12)</f>
        <v>0.20444408358374383</v>
      </c>
      <c r="G16" s="15"/>
      <c r="H16" s="15"/>
      <c r="I16" s="15"/>
      <c r="J16" s="15"/>
      <c r="K16" s="15"/>
    </row>
    <row r="17" spans="1:11" x14ac:dyDescent="0.3">
      <c r="A17" s="15"/>
      <c r="B17" s="9"/>
      <c r="C17" s="15"/>
      <c r="D17" s="15"/>
      <c r="E17" s="15"/>
      <c r="F17" s="15"/>
      <c r="G17" s="15"/>
      <c r="H17" s="15"/>
      <c r="I17" s="15"/>
      <c r="J17" s="15"/>
      <c r="K17" s="15"/>
    </row>
    <row r="18" spans="1:11" x14ac:dyDescent="0.3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 x14ac:dyDescent="0.3">
      <c r="A21" s="15"/>
      <c r="B21" s="15" t="s">
        <v>12</v>
      </c>
      <c r="C21" s="15"/>
      <c r="D21" s="15"/>
      <c r="E21" s="15"/>
      <c r="F21" s="15"/>
      <c r="G21" s="15"/>
      <c r="H21" s="15"/>
      <c r="I21" s="15"/>
      <c r="J21" s="15"/>
      <c r="K21" s="15"/>
    </row>
    <row r="22" spans="1:11" x14ac:dyDescent="0.3">
      <c r="A22" s="15"/>
      <c r="B22" s="15" t="s">
        <v>6</v>
      </c>
      <c r="C22" s="15" t="s">
        <v>8</v>
      </c>
      <c r="D22" s="15" t="s">
        <v>9</v>
      </c>
      <c r="E22" s="15" t="s">
        <v>10</v>
      </c>
      <c r="F22" s="15" t="s">
        <v>11</v>
      </c>
      <c r="G22" s="15"/>
      <c r="H22" s="15"/>
      <c r="I22" s="15"/>
      <c r="J22" s="15"/>
      <c r="K22" s="15"/>
    </row>
    <row r="23" spans="1:11" x14ac:dyDescent="0.3">
      <c r="A23" s="15"/>
      <c r="B23" s="15">
        <v>3.7127731484444446</v>
      </c>
      <c r="C23" s="15">
        <v>9.9212173824000001</v>
      </c>
      <c r="D23" s="15">
        <v>7.1188197973333329</v>
      </c>
      <c r="E23" s="15">
        <v>7.3069467128888883</v>
      </c>
      <c r="F23" s="15">
        <v>4.9115598435555547</v>
      </c>
      <c r="G23" s="15"/>
      <c r="H23" s="15"/>
      <c r="I23" s="15"/>
      <c r="J23" s="15"/>
      <c r="K23" s="15"/>
    </row>
    <row r="24" spans="1:11" x14ac:dyDescent="0.3">
      <c r="A24" s="15"/>
      <c r="B24" s="15">
        <v>1.7762790293333335</v>
      </c>
      <c r="C24" s="15">
        <v>6.4971292319999998</v>
      </c>
      <c r="D24" s="15">
        <v>9.5969946453333357</v>
      </c>
      <c r="E24" s="15">
        <v>8.5791210239999991</v>
      </c>
      <c r="F24" s="15">
        <v>6.9409583999999995</v>
      </c>
      <c r="G24" s="15"/>
      <c r="H24" s="15"/>
      <c r="I24" s="15"/>
      <c r="J24" s="15"/>
      <c r="K24" s="15"/>
    </row>
    <row r="25" spans="1:11" x14ac:dyDescent="0.3">
      <c r="A25" s="15"/>
      <c r="B25" s="15">
        <v>2.5374091555555558</v>
      </c>
      <c r="C25" s="15">
        <v>7.3533505919999991</v>
      </c>
      <c r="D25" s="15">
        <v>5.8085836799999999</v>
      </c>
      <c r="E25" s="15">
        <v>10.255340576</v>
      </c>
      <c r="F25" s="15">
        <v>8.3830752000000004</v>
      </c>
      <c r="G25" s="15"/>
      <c r="H25" s="15"/>
      <c r="I25" s="15"/>
      <c r="J25" s="15"/>
      <c r="K25" s="15"/>
    </row>
    <row r="26" spans="1:11" x14ac:dyDescent="0.3">
      <c r="A26" s="15"/>
      <c r="B26" s="15">
        <v>2.7249903359999998</v>
      </c>
      <c r="C26" s="15">
        <v>8.7249382986666681</v>
      </c>
      <c r="D26" s="15">
        <v>8.1281983600000007</v>
      </c>
      <c r="E26" s="15">
        <v>10.632793855999999</v>
      </c>
      <c r="F26" s="15">
        <v>6.8886177599999998</v>
      </c>
      <c r="G26" s="15"/>
      <c r="H26" s="15"/>
      <c r="I26" s="15"/>
      <c r="J26" s="15"/>
      <c r="K26" s="15"/>
    </row>
    <row r="27" spans="1:11" x14ac:dyDescent="0.3">
      <c r="A27" s="15"/>
      <c r="B27" s="15">
        <v>2.410754702222222</v>
      </c>
      <c r="C27" s="15">
        <v>9.2608030666666661</v>
      </c>
      <c r="D27" s="15">
        <v>8.5256075128888877</v>
      </c>
      <c r="E27" s="15">
        <v>10.45877832</v>
      </c>
      <c r="F27" s="15">
        <v>4.3672949760000002</v>
      </c>
      <c r="G27" s="15"/>
      <c r="H27" s="15"/>
      <c r="I27" s="15"/>
      <c r="J27" s="15"/>
      <c r="K27" s="15"/>
    </row>
    <row r="28" spans="1:11" x14ac:dyDescent="0.3">
      <c r="A28" s="15"/>
      <c r="B28" s="15">
        <v>2.6000608088888888</v>
      </c>
      <c r="C28" s="15">
        <v>9.367441516444444</v>
      </c>
      <c r="D28" s="15">
        <v>7.8551523306666668</v>
      </c>
      <c r="E28" s="15">
        <v>9.3209336160000014</v>
      </c>
      <c r="F28" s="15">
        <v>5.6051974613333329</v>
      </c>
      <c r="G28" s="15"/>
      <c r="H28" s="15"/>
      <c r="I28" s="15"/>
      <c r="J28" s="15"/>
      <c r="K28" s="15"/>
    </row>
    <row r="29" spans="1:11" x14ac:dyDescent="0.3">
      <c r="A29" s="15"/>
      <c r="B29" s="15">
        <v>2.9883369244444444</v>
      </c>
      <c r="C29" s="15">
        <v>9.0081208319999995</v>
      </c>
      <c r="D29" s="15">
        <v>7.580259185777777</v>
      </c>
      <c r="E29" s="15">
        <v>6.7974243111111097</v>
      </c>
      <c r="F29" s="15">
        <v>9.9092183519999981</v>
      </c>
      <c r="G29" s="15"/>
      <c r="H29" s="15"/>
      <c r="I29" s="15"/>
      <c r="J29" s="15"/>
      <c r="K29" s="15"/>
    </row>
    <row r="30" spans="1:11" x14ac:dyDescent="0.3">
      <c r="A30" s="15"/>
      <c r="B30" s="15">
        <v>3.1444537333333331</v>
      </c>
      <c r="C30" s="15">
        <v>9.7690790026666683</v>
      </c>
      <c r="D30" s="15">
        <v>9.6897731946666656</v>
      </c>
      <c r="E30" s="15">
        <v>7.7233150897777785</v>
      </c>
      <c r="F30" s="15">
        <v>7.1973807786666661</v>
      </c>
      <c r="G30" s="15"/>
      <c r="H30" s="15"/>
      <c r="I30" s="15"/>
      <c r="J30" s="15"/>
      <c r="K30" s="15"/>
    </row>
    <row r="31" spans="1:11" x14ac:dyDescent="0.3">
      <c r="A31" s="15"/>
      <c r="B31" s="15">
        <v>2.1364394222222218</v>
      </c>
      <c r="C31" s="15">
        <v>8.5365508586666667</v>
      </c>
      <c r="D31" s="15">
        <v>6.9634759964444441</v>
      </c>
      <c r="E31" s="15">
        <v>11.737398656</v>
      </c>
      <c r="F31" s="15">
        <v>7.8126240000000005</v>
      </c>
      <c r="G31" s="15"/>
      <c r="H31" s="15"/>
      <c r="I31" s="15"/>
      <c r="J31" s="15"/>
      <c r="K31" s="15"/>
    </row>
    <row r="32" spans="1:11" x14ac:dyDescent="0.3">
      <c r="A32" s="15"/>
      <c r="B32" s="15">
        <v>2.1478383377777779</v>
      </c>
      <c r="C32" s="15">
        <v>8.2333984906666657</v>
      </c>
      <c r="D32" s="15">
        <v>7.0349435519999997</v>
      </c>
      <c r="E32" s="15">
        <v>8.0498367359999996</v>
      </c>
      <c r="F32" s="15">
        <v>6.6919399893333331</v>
      </c>
      <c r="G32" s="15"/>
      <c r="H32" s="15"/>
      <c r="I32" s="15"/>
      <c r="J32" s="15"/>
      <c r="K32" s="15"/>
    </row>
    <row r="33" spans="1:11" x14ac:dyDescent="0.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</row>
    <row r="34" spans="1:11" x14ac:dyDescent="0.3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</row>
    <row r="35" spans="1:11" x14ac:dyDescent="0.3">
      <c r="A35" s="15" t="s">
        <v>112</v>
      </c>
      <c r="B35" s="15">
        <f>AVERAGE(B23:B32)</f>
        <v>2.6179335598222222</v>
      </c>
      <c r="C35" s="15">
        <f>AVERAGE(C23:C32)</f>
        <v>8.6672029272177777</v>
      </c>
      <c r="D35" s="15">
        <f>AVERAGE(D23:D32)</f>
        <v>7.8301808255111114</v>
      </c>
      <c r="E35" s="15">
        <f>AVERAGE(E23:E32)</f>
        <v>9.0861888897777767</v>
      </c>
      <c r="F35" s="15">
        <f>AVERAGE(F23:F32)</f>
        <v>6.8707866760888887</v>
      </c>
      <c r="G35" s="15"/>
      <c r="H35" s="15"/>
      <c r="I35" s="15"/>
      <c r="J35" s="15"/>
      <c r="K35" s="15"/>
    </row>
    <row r="36" spans="1:11" x14ac:dyDescent="0.3">
      <c r="A36" s="15"/>
      <c r="B36" s="9">
        <f>AVERAGE(B23,B25:B30)</f>
        <v>2.874111258412698</v>
      </c>
      <c r="C36" s="9">
        <f>AVERAGE(C23,C26:C32)</f>
        <v>9.1026936810222239</v>
      </c>
      <c r="D36" s="9">
        <f>AVERAGE(D23:D24,D26:D32)</f>
        <v>8.0548027305679017</v>
      </c>
      <c r="E36" s="9">
        <f>AVERAGE(E23:E24,E29:E30,E32)</f>
        <v>7.6913287747555561</v>
      </c>
      <c r="F36" s="9">
        <f>AVERAGE(F23:F24,F26:F28,F30:F32)</f>
        <v>6.3019466511111109</v>
      </c>
      <c r="G36" s="15"/>
      <c r="H36" s="15"/>
      <c r="I36" s="15"/>
      <c r="J36" s="15"/>
      <c r="K36" s="15"/>
    </row>
    <row r="37" spans="1:11" x14ac:dyDescent="0.3">
      <c r="A37" s="15" t="s">
        <v>4</v>
      </c>
      <c r="B37" s="9">
        <f>STDEV(B23,B25:B30)</f>
        <v>0.4499804856762819</v>
      </c>
      <c r="C37" s="9">
        <f>STDEV(C23,C26:C32)</f>
        <v>0.59003334249136818</v>
      </c>
      <c r="D37" s="9">
        <f>STDEV(D23:D24,D26:D32)</f>
        <v>1.039876860259787</v>
      </c>
      <c r="E37" s="9">
        <f>STDEV(E23:E24,E29:E30,E32)</f>
        <v>0.68274096845934029</v>
      </c>
      <c r="F37" s="9">
        <v>0.80415999999999999</v>
      </c>
      <c r="G37" s="15"/>
      <c r="H37" s="15"/>
      <c r="I37" s="15"/>
      <c r="J37" s="15"/>
      <c r="K37" s="15"/>
    </row>
    <row r="38" spans="1:11" x14ac:dyDescent="0.3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</row>
    <row r="39" spans="1:11" x14ac:dyDescent="0.3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</row>
  </sheetData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F5C49-2A97-4526-9E8C-35A2080A3D5C}">
  <dimension ref="A1:G27"/>
  <sheetViews>
    <sheetView tabSelected="1" workbookViewId="0">
      <selection activeCell="M53" sqref="M53"/>
    </sheetView>
  </sheetViews>
  <sheetFormatPr defaultRowHeight="14" x14ac:dyDescent="0.3"/>
  <cols>
    <col min="1" max="16384" width="8.6640625" style="15"/>
  </cols>
  <sheetData>
    <row r="1" spans="1:7" x14ac:dyDescent="0.3">
      <c r="B1" s="15" t="s">
        <v>117</v>
      </c>
    </row>
    <row r="2" spans="1:7" x14ac:dyDescent="0.3">
      <c r="B2" s="15" t="s">
        <v>71</v>
      </c>
      <c r="C2" s="15">
        <v>25</v>
      </c>
      <c r="D2" s="15">
        <v>50</v>
      </c>
      <c r="E2" s="15">
        <v>100</v>
      </c>
      <c r="F2" s="15">
        <v>250</v>
      </c>
      <c r="G2" s="15">
        <v>500</v>
      </c>
    </row>
    <row r="3" spans="1:7" x14ac:dyDescent="0.3">
      <c r="B3" s="15">
        <v>1.1240000000000001</v>
      </c>
      <c r="C3" s="15">
        <v>0.8</v>
      </c>
      <c r="D3" s="15">
        <v>0.63900000000000001</v>
      </c>
      <c r="E3" s="15">
        <v>0.443</v>
      </c>
      <c r="F3" s="15">
        <v>0.32800000000000001</v>
      </c>
      <c r="G3" s="15">
        <v>0.186</v>
      </c>
    </row>
    <row r="4" spans="1:7" x14ac:dyDescent="0.3">
      <c r="B4" s="15">
        <v>1.0920000000000001</v>
      </c>
      <c r="C4" s="15">
        <v>0.92300000000000004</v>
      </c>
      <c r="D4" s="15">
        <v>0.63900000000000001</v>
      </c>
      <c r="E4" s="15">
        <v>0.41099999999999998</v>
      </c>
      <c r="F4" s="15">
        <v>0.35399999999999998</v>
      </c>
      <c r="G4" s="15">
        <v>0.219</v>
      </c>
    </row>
    <row r="5" spans="1:7" x14ac:dyDescent="0.3">
      <c r="A5" s="15" t="s">
        <v>114</v>
      </c>
      <c r="B5" s="15">
        <v>1.1080000000000001</v>
      </c>
      <c r="C5" s="15">
        <v>0.86150000000000004</v>
      </c>
      <c r="D5" s="15">
        <v>0.63900000000000001</v>
      </c>
      <c r="E5" s="15">
        <v>0.42699999999999999</v>
      </c>
      <c r="F5" s="15">
        <v>0.34099999999999997</v>
      </c>
      <c r="G5" s="15">
        <v>0.20250000000000001</v>
      </c>
    </row>
    <row r="6" spans="1:7" x14ac:dyDescent="0.3">
      <c r="B6" s="15">
        <v>1.6080000000000001</v>
      </c>
      <c r="C6" s="15">
        <v>1.3614999999999999</v>
      </c>
      <c r="D6" s="15">
        <v>1.139</v>
      </c>
      <c r="E6" s="15">
        <v>0.92700000000000005</v>
      </c>
      <c r="F6" s="15">
        <v>0.84099999999999997</v>
      </c>
      <c r="G6" s="15">
        <v>0.70250000000000001</v>
      </c>
    </row>
    <row r="7" spans="1:7" x14ac:dyDescent="0.3">
      <c r="A7" s="15" t="s">
        <v>116</v>
      </c>
      <c r="B7" s="15">
        <v>1.615</v>
      </c>
      <c r="C7" s="15">
        <v>1.3614999999999999</v>
      </c>
      <c r="D7" s="15">
        <v>1.2513000000000001</v>
      </c>
      <c r="E7" s="15">
        <v>1.1000000000000001</v>
      </c>
      <c r="F7" s="15">
        <v>0.84299999999999997</v>
      </c>
      <c r="G7" s="15">
        <v>0.68049999999999999</v>
      </c>
    </row>
    <row r="10" spans="1:7" x14ac:dyDescent="0.3">
      <c r="B10" s="15" t="s">
        <v>118</v>
      </c>
    </row>
    <row r="11" spans="1:7" x14ac:dyDescent="0.3">
      <c r="B11" s="15" t="s">
        <v>113</v>
      </c>
      <c r="C11" s="15">
        <v>0.5</v>
      </c>
      <c r="D11" s="15">
        <v>1</v>
      </c>
      <c r="E11" s="15">
        <v>2.5</v>
      </c>
      <c r="F11" s="15">
        <v>5</v>
      </c>
      <c r="G11" s="15">
        <v>10</v>
      </c>
    </row>
    <row r="12" spans="1:7" x14ac:dyDescent="0.3">
      <c r="B12" s="15">
        <v>1.0449999999999999</v>
      </c>
      <c r="C12" s="15">
        <v>0.875</v>
      </c>
      <c r="D12" s="15">
        <v>0.78700000000000003</v>
      </c>
      <c r="E12" s="15">
        <v>0.58699999999999997</v>
      </c>
      <c r="F12" s="15">
        <v>0.55800000000000005</v>
      </c>
      <c r="G12" s="15">
        <v>0.32</v>
      </c>
    </row>
    <row r="13" spans="1:7" x14ac:dyDescent="0.3">
      <c r="B13" s="15">
        <v>1.018</v>
      </c>
      <c r="C13" s="15">
        <v>0.89200000000000002</v>
      </c>
      <c r="D13" s="15">
        <v>0.66</v>
      </c>
      <c r="E13" s="15">
        <v>0.61199999999999999</v>
      </c>
      <c r="F13" s="15">
        <v>0.47299999999999998</v>
      </c>
      <c r="G13" s="15">
        <v>0.34499999999999997</v>
      </c>
    </row>
    <row r="14" spans="1:7" x14ac:dyDescent="0.3">
      <c r="A14" s="15" t="s">
        <v>114</v>
      </c>
      <c r="B14" s="15">
        <v>1.0314999999999999</v>
      </c>
      <c r="C14" s="15">
        <v>0.88349999999999995</v>
      </c>
      <c r="D14" s="15">
        <v>0.72350000000000003</v>
      </c>
      <c r="E14" s="15">
        <v>0.59949999999999992</v>
      </c>
      <c r="F14" s="15">
        <v>0.51550000000000007</v>
      </c>
      <c r="G14" s="15">
        <v>0.33250000000000002</v>
      </c>
    </row>
    <row r="15" spans="1:7" x14ac:dyDescent="0.3">
      <c r="B15" s="15">
        <v>1.5314999999999999</v>
      </c>
      <c r="C15" s="15">
        <v>1.3835</v>
      </c>
      <c r="D15" s="15">
        <v>1.2235</v>
      </c>
      <c r="E15" s="15">
        <v>1.0994999999999999</v>
      </c>
      <c r="F15" s="15">
        <v>1.0155000000000001</v>
      </c>
      <c r="G15" s="15">
        <v>0.83250000000000002</v>
      </c>
    </row>
    <row r="16" spans="1:7" x14ac:dyDescent="0.3">
      <c r="A16" s="15" t="s">
        <v>115</v>
      </c>
      <c r="B16" s="15">
        <v>1.5315000000000001</v>
      </c>
      <c r="C16" s="15">
        <v>1.2935000000000001</v>
      </c>
      <c r="D16" s="15">
        <v>1.2235</v>
      </c>
      <c r="E16" s="15">
        <v>1.1105</v>
      </c>
      <c r="F16" s="15">
        <v>1.0149999999999999</v>
      </c>
      <c r="G16" s="15">
        <v>0.88549999999999995</v>
      </c>
    </row>
    <row r="20" spans="1:7" x14ac:dyDescent="0.3">
      <c r="B20" s="15" t="s">
        <v>72</v>
      </c>
    </row>
    <row r="22" spans="1:7" x14ac:dyDescent="0.3">
      <c r="B22" s="15" t="s">
        <v>73</v>
      </c>
    </row>
    <row r="23" spans="1:7" x14ac:dyDescent="0.3">
      <c r="B23" s="15" t="s">
        <v>71</v>
      </c>
      <c r="C23" s="15">
        <v>50</v>
      </c>
      <c r="D23" s="15">
        <v>100</v>
      </c>
      <c r="E23" s="15">
        <v>250</v>
      </c>
      <c r="F23" s="15">
        <v>500</v>
      </c>
      <c r="G23" s="15">
        <v>1000</v>
      </c>
    </row>
    <row r="24" spans="1:7" x14ac:dyDescent="0.3">
      <c r="B24" s="15">
        <v>5.6000000000000001E-2</v>
      </c>
      <c r="C24" s="15">
        <v>7.8E-2</v>
      </c>
      <c r="D24" s="15">
        <v>0.19400000000000001</v>
      </c>
      <c r="E24" s="15">
        <v>0.68300000000000005</v>
      </c>
      <c r="F24" s="15">
        <v>1.347</v>
      </c>
      <c r="G24" s="15">
        <v>2.73</v>
      </c>
    </row>
    <row r="25" spans="1:7" x14ac:dyDescent="0.3">
      <c r="B25" s="15">
        <v>5.6000000000000001E-2</v>
      </c>
      <c r="C25" s="15">
        <v>8.7999999999999995E-2</v>
      </c>
      <c r="D25" s="15">
        <v>0.19600000000000001</v>
      </c>
      <c r="E25" s="15">
        <v>0.69399999999999995</v>
      </c>
      <c r="F25" s="15">
        <v>1.39</v>
      </c>
      <c r="G25" s="15">
        <v>2.762</v>
      </c>
    </row>
    <row r="26" spans="1:7" x14ac:dyDescent="0.3">
      <c r="A26" s="15" t="s">
        <v>114</v>
      </c>
      <c r="B26" s="15">
        <v>5.6000000000000001E-2</v>
      </c>
      <c r="C26" s="15">
        <v>8.299999999999999E-2</v>
      </c>
      <c r="D26" s="15">
        <v>0.19500000000000001</v>
      </c>
      <c r="E26" s="15">
        <v>0.6885</v>
      </c>
      <c r="F26" s="15">
        <v>1.3685</v>
      </c>
      <c r="G26" s="15">
        <v>2.746</v>
      </c>
    </row>
    <row r="27" spans="1:7" x14ac:dyDescent="0.3">
      <c r="A27" s="15" t="s">
        <v>115</v>
      </c>
      <c r="B27" s="15">
        <v>5.6000000000000001E-2</v>
      </c>
      <c r="C27" s="15">
        <v>9.9000000000000005E-2</v>
      </c>
      <c r="D27" s="15">
        <v>0.26</v>
      </c>
      <c r="E27" s="15">
        <v>0.6885</v>
      </c>
      <c r="F27" s="15">
        <v>1.3685</v>
      </c>
      <c r="G27" s="15">
        <v>2.746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A25F0-EE8A-4A4A-91B8-0A17383B943E}">
  <dimension ref="A1:K15"/>
  <sheetViews>
    <sheetView workbookViewId="0">
      <selection activeCell="D18" sqref="D18"/>
    </sheetView>
  </sheetViews>
  <sheetFormatPr defaultRowHeight="14" x14ac:dyDescent="0.3"/>
  <cols>
    <col min="1" max="16384" width="8.6640625" style="2"/>
  </cols>
  <sheetData>
    <row r="1" spans="1:11" x14ac:dyDescent="0.3">
      <c r="A1" s="1"/>
      <c r="B1" s="1" t="s">
        <v>80</v>
      </c>
      <c r="C1" s="1"/>
      <c r="D1" s="1" t="s">
        <v>75</v>
      </c>
      <c r="E1" s="1"/>
      <c r="F1" s="1" t="s">
        <v>81</v>
      </c>
      <c r="G1" s="1"/>
      <c r="H1" s="1" t="s">
        <v>82</v>
      </c>
      <c r="I1" s="1"/>
      <c r="J1" s="1" t="s">
        <v>78</v>
      </c>
      <c r="K1" s="1"/>
    </row>
    <row r="2" spans="1:11" x14ac:dyDescent="0.3">
      <c r="A2" s="1"/>
      <c r="B2" s="1">
        <v>0.17</v>
      </c>
      <c r="C2" s="1">
        <f t="shared" ref="C2:C7" si="0">B2/33.45*100</f>
        <v>0.50822122571001493</v>
      </c>
      <c r="D2" s="1">
        <v>0.1</v>
      </c>
      <c r="E2" s="1">
        <f>D2/27.17*100</f>
        <v>0.36805299963194704</v>
      </c>
      <c r="F2" s="1">
        <v>0.13</v>
      </c>
      <c r="G2" s="1">
        <f>F2/26.84*100</f>
        <v>0.48435171385991055</v>
      </c>
      <c r="H2" s="1">
        <v>0.08</v>
      </c>
      <c r="I2" s="1">
        <f>H2/29.04*100</f>
        <v>0.27548209366391185</v>
      </c>
      <c r="J2" s="1">
        <v>0.27</v>
      </c>
      <c r="K2" s="1">
        <f>J2/30.13*100</f>
        <v>0.89611682708264206</v>
      </c>
    </row>
    <row r="3" spans="1:11" x14ac:dyDescent="0.3">
      <c r="A3" s="1"/>
      <c r="B3" s="1">
        <v>0.09</v>
      </c>
      <c r="C3" s="1">
        <f t="shared" si="0"/>
        <v>0.2690582959641255</v>
      </c>
      <c r="D3" s="1">
        <v>0.24</v>
      </c>
      <c r="E3" s="1">
        <f t="shared" ref="E3:E11" si="1">D3/27.17*100</f>
        <v>0.88332719911667268</v>
      </c>
      <c r="F3" s="1">
        <v>0.06</v>
      </c>
      <c r="G3" s="1">
        <f t="shared" ref="G3:G12" si="2">F3/26.84*100</f>
        <v>0.22354694485842028</v>
      </c>
      <c r="H3" s="1">
        <v>0.11</v>
      </c>
      <c r="I3" s="1">
        <f t="shared" ref="I3:I12" si="3">H3/29.04*100</f>
        <v>0.37878787878787878</v>
      </c>
      <c r="J3" s="1">
        <v>0.13</v>
      </c>
      <c r="K3" s="1">
        <f>J3/30.13*100</f>
        <v>0.43146365748423499</v>
      </c>
    </row>
    <row r="4" spans="1:11" x14ac:dyDescent="0.3">
      <c r="A4" s="1"/>
      <c r="B4" s="1">
        <v>0.13</v>
      </c>
      <c r="C4" s="1">
        <f t="shared" si="0"/>
        <v>0.38863976083707025</v>
      </c>
      <c r="D4" s="1">
        <v>0.11</v>
      </c>
      <c r="E4" s="1">
        <f t="shared" si="1"/>
        <v>0.40485829959514169</v>
      </c>
      <c r="F4" s="1">
        <v>0.08</v>
      </c>
      <c r="G4" s="1">
        <f t="shared" si="2"/>
        <v>0.29806259314456035</v>
      </c>
      <c r="H4" s="1">
        <v>0.08</v>
      </c>
      <c r="I4" s="1">
        <f t="shared" si="3"/>
        <v>0.27548209366391185</v>
      </c>
      <c r="J4" s="1">
        <v>0.06</v>
      </c>
      <c r="K4" s="1">
        <f>J4/30.13*100</f>
        <v>0.19913707268503153</v>
      </c>
    </row>
    <row r="5" spans="1:11" x14ac:dyDescent="0.3">
      <c r="A5" s="1"/>
      <c r="B5" s="1">
        <v>0.18</v>
      </c>
      <c r="C5" s="1">
        <f t="shared" si="0"/>
        <v>0.53811659192825101</v>
      </c>
      <c r="D5" s="1">
        <v>0.12</v>
      </c>
      <c r="E5" s="1">
        <f t="shared" si="1"/>
        <v>0.44166359955833634</v>
      </c>
      <c r="F5" s="1">
        <v>0.1</v>
      </c>
      <c r="G5" s="1">
        <f t="shared" si="2"/>
        <v>0.37257824143070051</v>
      </c>
      <c r="H5" s="1">
        <v>7.0000000000000007E-2</v>
      </c>
      <c r="I5" s="1">
        <f t="shared" si="3"/>
        <v>0.24104683195592291</v>
      </c>
      <c r="J5" s="1">
        <v>7.0000000000000007E-2</v>
      </c>
      <c r="K5" s="1">
        <f>J5/30.13*100</f>
        <v>0.23232658479920348</v>
      </c>
    </row>
    <row r="6" spans="1:11" x14ac:dyDescent="0.3">
      <c r="A6" s="1"/>
      <c r="B6" s="1">
        <v>7.0000000000000007E-2</v>
      </c>
      <c r="C6" s="1">
        <f t="shared" si="0"/>
        <v>0.20926756352765324</v>
      </c>
      <c r="D6" s="1">
        <v>0.1</v>
      </c>
      <c r="E6" s="1">
        <f t="shared" si="1"/>
        <v>0.36805299963194704</v>
      </c>
      <c r="F6" s="1">
        <v>0.1</v>
      </c>
      <c r="G6" s="1">
        <f t="shared" si="2"/>
        <v>0.37257824143070051</v>
      </c>
      <c r="H6" s="1">
        <v>0.04</v>
      </c>
      <c r="I6" s="1">
        <f t="shared" si="3"/>
        <v>0.13774104683195593</v>
      </c>
      <c r="J6" s="1">
        <v>0.1</v>
      </c>
      <c r="K6" s="1">
        <f>J6/30.13*100</f>
        <v>0.33189512114171926</v>
      </c>
    </row>
    <row r="7" spans="1:11" x14ac:dyDescent="0.3">
      <c r="A7" s="1"/>
      <c r="B7" s="1">
        <v>7.0000000000000007E-2</v>
      </c>
      <c r="C7" s="1">
        <f t="shared" si="0"/>
        <v>0.20926756352765324</v>
      </c>
      <c r="D7" s="1">
        <v>0.11</v>
      </c>
      <c r="E7" s="1">
        <f t="shared" si="1"/>
        <v>0.40485829959514169</v>
      </c>
      <c r="F7" s="1">
        <v>0.06</v>
      </c>
      <c r="G7" s="1">
        <f t="shared" si="2"/>
        <v>0.22354694485842028</v>
      </c>
      <c r="H7" s="1">
        <v>0.1</v>
      </c>
      <c r="I7" s="1">
        <f t="shared" si="3"/>
        <v>0.34435261707988984</v>
      </c>
      <c r="J7" s="1"/>
      <c r="K7" s="1"/>
    </row>
    <row r="8" spans="1:11" x14ac:dyDescent="0.3">
      <c r="A8" s="1"/>
      <c r="B8" s="1"/>
      <c r="C8" s="1"/>
      <c r="D8" s="1">
        <v>0.11</v>
      </c>
      <c r="E8" s="1">
        <f t="shared" si="1"/>
        <v>0.40485829959514169</v>
      </c>
      <c r="F8" s="1">
        <v>0.06</v>
      </c>
      <c r="G8" s="1">
        <f t="shared" si="2"/>
        <v>0.22354694485842028</v>
      </c>
      <c r="H8" s="1">
        <v>0.11</v>
      </c>
      <c r="I8" s="1">
        <f t="shared" si="3"/>
        <v>0.37878787878787878</v>
      </c>
      <c r="J8" s="1"/>
      <c r="K8" s="1"/>
    </row>
    <row r="9" spans="1:11" x14ac:dyDescent="0.3">
      <c r="A9" s="1"/>
      <c r="B9" s="1"/>
      <c r="C9" s="1"/>
      <c r="D9" s="1">
        <v>0.08</v>
      </c>
      <c r="E9" s="1">
        <f t="shared" si="1"/>
        <v>0.29444239970555758</v>
      </c>
      <c r="F9" s="1">
        <v>0.08</v>
      </c>
      <c r="G9" s="1">
        <f t="shared" si="2"/>
        <v>0.29806259314456035</v>
      </c>
      <c r="H9" s="1">
        <v>0.18</v>
      </c>
      <c r="I9" s="1">
        <f t="shared" si="3"/>
        <v>0.6198347107438017</v>
      </c>
      <c r="J9" s="1"/>
      <c r="K9" s="1"/>
    </row>
    <row r="10" spans="1:11" x14ac:dyDescent="0.3">
      <c r="A10" s="1"/>
      <c r="B10" s="1"/>
      <c r="C10" s="1"/>
      <c r="D10" s="1">
        <v>0.1</v>
      </c>
      <c r="E10" s="1">
        <f t="shared" si="1"/>
        <v>0.36805299963194704</v>
      </c>
      <c r="F10" s="1">
        <v>0.05</v>
      </c>
      <c r="G10" s="1">
        <f t="shared" si="2"/>
        <v>0.18628912071535025</v>
      </c>
      <c r="H10" s="1">
        <v>0.08</v>
      </c>
      <c r="I10" s="1">
        <f t="shared" si="3"/>
        <v>0.27548209366391185</v>
      </c>
      <c r="J10" s="1"/>
      <c r="K10" s="1"/>
    </row>
    <row r="11" spans="1:11" x14ac:dyDescent="0.3">
      <c r="A11" s="1"/>
      <c r="B11" s="1"/>
      <c r="C11" s="1"/>
      <c r="D11" s="1">
        <v>7.0000000000000007E-2</v>
      </c>
      <c r="E11" s="1">
        <f t="shared" si="1"/>
        <v>0.25763709974236293</v>
      </c>
      <c r="F11" s="1">
        <v>0.06</v>
      </c>
      <c r="G11" s="1">
        <f t="shared" si="2"/>
        <v>0.22354694485842028</v>
      </c>
      <c r="H11" s="1">
        <v>0.14000000000000001</v>
      </c>
      <c r="I11" s="1">
        <f t="shared" si="3"/>
        <v>0.48209366391184583</v>
      </c>
      <c r="J11" s="1"/>
      <c r="K11" s="1"/>
    </row>
    <row r="12" spans="1:11" x14ac:dyDescent="0.3">
      <c r="A12" s="1"/>
      <c r="B12" s="1"/>
      <c r="C12" s="1"/>
      <c r="D12" s="1"/>
      <c r="E12" s="1"/>
      <c r="F12" s="1">
        <v>0.06</v>
      </c>
      <c r="G12" s="1">
        <f t="shared" si="2"/>
        <v>0.22354694485842028</v>
      </c>
      <c r="H12" s="1">
        <v>0.09</v>
      </c>
      <c r="I12" s="1">
        <f t="shared" si="3"/>
        <v>0.30991735537190085</v>
      </c>
      <c r="J12" s="1"/>
      <c r="K12" s="1"/>
    </row>
    <row r="13" spans="1:1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3">
      <c r="A14" s="1" t="s">
        <v>79</v>
      </c>
      <c r="B14" s="1"/>
      <c r="C14" s="3">
        <f>AVERAGE(C3:C4,C6:C7)</f>
        <v>0.26905829596412556</v>
      </c>
      <c r="D14" s="3"/>
      <c r="E14" s="3">
        <f>AVERAGE(E2,E4:E8,E10)</f>
        <v>0.39434249960565754</v>
      </c>
      <c r="F14" s="3"/>
      <c r="G14" s="3">
        <f>AVERAGE(G3:G4,G6:G9,G11:G12)</f>
        <v>0.2608047690014903</v>
      </c>
      <c r="H14" s="3"/>
      <c r="I14" s="3">
        <f>AVERAGE(I2,I4:I5,I7,I10:I12)</f>
        <v>0.31483667847304214</v>
      </c>
      <c r="J14" s="3"/>
      <c r="K14" s="3">
        <f>AVERAGE(K4:K6)</f>
        <v>0.2544529262086514</v>
      </c>
    </row>
    <row r="15" spans="1:11" x14ac:dyDescent="0.3">
      <c r="A15" s="1" t="s">
        <v>83</v>
      </c>
      <c r="B15" s="1"/>
      <c r="C15" s="3">
        <f>STDEV(C3:C4,C6:C7)</f>
        <v>8.4556864715880142E-2</v>
      </c>
      <c r="D15" s="3"/>
      <c r="E15" s="3">
        <f>STDEV(E2,E4:E8,E10)</f>
        <v>2.7822191609070793E-2</v>
      </c>
      <c r="F15" s="3"/>
      <c r="G15" s="3">
        <f>STDEV(G3:G4,G6:G9,G11:G12)</f>
        <v>5.6328535470823934E-2</v>
      </c>
      <c r="H15" s="3"/>
      <c r="I15" s="3">
        <f>STDEV(I2,I4:I5,I7,I10:I12)</f>
        <v>8.0582856980884465E-2</v>
      </c>
      <c r="J15" s="3"/>
      <c r="K15" s="3">
        <f>STDEV(K4:K6)</f>
        <v>6.9089478906941115E-2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DDA42-CA26-4BF1-8FB1-596DAF72A122}">
  <dimension ref="A1:M16"/>
  <sheetViews>
    <sheetView workbookViewId="0">
      <selection activeCell="E19" sqref="E19"/>
    </sheetView>
  </sheetViews>
  <sheetFormatPr defaultRowHeight="14" x14ac:dyDescent="0.3"/>
  <cols>
    <col min="1" max="16384" width="8.6640625" style="2"/>
  </cols>
  <sheetData>
    <row r="1" spans="1:13" x14ac:dyDescent="0.3">
      <c r="A1" s="1"/>
      <c r="B1" s="1" t="s">
        <v>74</v>
      </c>
      <c r="C1" s="1" t="s">
        <v>1</v>
      </c>
      <c r="D1" s="1" t="s">
        <v>75</v>
      </c>
      <c r="E1" s="1" t="s">
        <v>1</v>
      </c>
      <c r="F1" s="1" t="s">
        <v>76</v>
      </c>
      <c r="G1" s="1" t="s">
        <v>1</v>
      </c>
      <c r="H1" s="1" t="s">
        <v>77</v>
      </c>
      <c r="I1" s="1" t="s">
        <v>1</v>
      </c>
      <c r="J1" s="1" t="s">
        <v>78</v>
      </c>
      <c r="K1" s="1" t="s">
        <v>1</v>
      </c>
      <c r="L1" s="1"/>
      <c r="M1" s="1"/>
    </row>
    <row r="2" spans="1:13" x14ac:dyDescent="0.3">
      <c r="A2" s="1"/>
      <c r="B2" s="1">
        <v>1.63</v>
      </c>
      <c r="C2" s="1">
        <f t="shared" ref="C2:C7" si="0">B2/33.45*100</f>
        <v>4.8729446935724958</v>
      </c>
      <c r="D2" s="1">
        <v>1.99</v>
      </c>
      <c r="E2" s="1">
        <f>D2/27.17*100</f>
        <v>7.324254692675745</v>
      </c>
      <c r="F2" s="1">
        <v>2.27</v>
      </c>
      <c r="G2" s="1">
        <f>F2/26.84*100</f>
        <v>8.4575260804768995</v>
      </c>
      <c r="H2" s="1">
        <v>2.2799999999999998</v>
      </c>
      <c r="I2" s="1">
        <f>H2/29.04*100</f>
        <v>7.8512396694214877</v>
      </c>
      <c r="J2" s="1">
        <v>2.1</v>
      </c>
      <c r="K2" s="1">
        <v>5.9697979999999999</v>
      </c>
    </row>
    <row r="3" spans="1:13" x14ac:dyDescent="0.3">
      <c r="A3" s="1"/>
      <c r="B3" s="1">
        <v>1.95</v>
      </c>
      <c r="C3" s="1">
        <f t="shared" si="0"/>
        <v>5.8295964125560529</v>
      </c>
      <c r="D3" s="1">
        <v>2.68</v>
      </c>
      <c r="E3" s="1">
        <f t="shared" ref="E3:E11" si="1">D3/27.17*100</f>
        <v>9.8638203901361798</v>
      </c>
      <c r="F3" s="1">
        <v>1.82</v>
      </c>
      <c r="G3" s="1">
        <f t="shared" ref="G3:G12" si="2">F3/26.84*100</f>
        <v>6.7809239940387487</v>
      </c>
      <c r="H3" s="1">
        <v>2</v>
      </c>
      <c r="I3" s="1">
        <f t="shared" ref="I3:I12" si="3">H3/29.04*100</f>
        <v>6.887052341597796</v>
      </c>
      <c r="J3" s="1">
        <v>1.96</v>
      </c>
      <c r="K3" s="1">
        <f>J3/30.13*100</f>
        <v>6.5051443743776973</v>
      </c>
    </row>
    <row r="4" spans="1:13" x14ac:dyDescent="0.3">
      <c r="A4" s="1"/>
      <c r="B4" s="1">
        <v>1.35</v>
      </c>
      <c r="C4" s="1">
        <f t="shared" si="0"/>
        <v>4.0358744394618835</v>
      </c>
      <c r="D4" s="1">
        <v>1.61</v>
      </c>
      <c r="E4" s="1">
        <f t="shared" si="1"/>
        <v>5.9256532940743467</v>
      </c>
      <c r="F4" s="1">
        <v>2.21</v>
      </c>
      <c r="G4" s="1">
        <f t="shared" si="2"/>
        <v>8.2339791356184797</v>
      </c>
      <c r="H4" s="1">
        <v>1.7</v>
      </c>
      <c r="I4" s="1">
        <f t="shared" si="3"/>
        <v>5.8539944903581267</v>
      </c>
      <c r="J4" s="1">
        <v>3.11</v>
      </c>
      <c r="K4" s="1">
        <f>J4/30.13*100</f>
        <v>10.321938267507468</v>
      </c>
    </row>
    <row r="5" spans="1:13" x14ac:dyDescent="0.3">
      <c r="A5" s="1"/>
      <c r="B5" s="1">
        <v>1.66</v>
      </c>
      <c r="C5" s="1">
        <f t="shared" si="0"/>
        <v>4.9626307922272037</v>
      </c>
      <c r="D5" s="1">
        <v>2.35</v>
      </c>
      <c r="E5" s="1">
        <f t="shared" si="1"/>
        <v>8.6492454913507544</v>
      </c>
      <c r="F5" s="1">
        <v>2.4700000000000002</v>
      </c>
      <c r="G5" s="1">
        <f t="shared" si="2"/>
        <v>9.2026825633383016</v>
      </c>
      <c r="H5" s="1">
        <v>1.85</v>
      </c>
      <c r="I5" s="1">
        <f t="shared" si="3"/>
        <v>6.3705234159779618</v>
      </c>
      <c r="J5" s="1">
        <v>2.4500000000000002</v>
      </c>
      <c r="K5" s="1">
        <f>J5/30.13*100</f>
        <v>8.1314304679721214</v>
      </c>
    </row>
    <row r="6" spans="1:13" x14ac:dyDescent="0.3">
      <c r="A6" s="1"/>
      <c r="B6" s="1">
        <v>1.1000000000000001</v>
      </c>
      <c r="C6" s="1">
        <f t="shared" si="0"/>
        <v>3.2884902840059791</v>
      </c>
      <c r="D6" s="1">
        <v>2.23</v>
      </c>
      <c r="E6" s="1">
        <f t="shared" si="1"/>
        <v>8.207581891792417</v>
      </c>
      <c r="F6" s="1">
        <v>2.35</v>
      </c>
      <c r="G6" s="1">
        <f t="shared" si="2"/>
        <v>8.7555886736214603</v>
      </c>
      <c r="H6" s="1">
        <v>1.6</v>
      </c>
      <c r="I6" s="1">
        <f t="shared" si="3"/>
        <v>5.5096418732782375</v>
      </c>
      <c r="J6" s="1">
        <v>1.98</v>
      </c>
      <c r="K6" s="1">
        <f>J6/30.13*100</f>
        <v>6.5715233986060415</v>
      </c>
    </row>
    <row r="7" spans="1:13" x14ac:dyDescent="0.3">
      <c r="A7" s="1"/>
      <c r="B7" s="1">
        <v>1.73</v>
      </c>
      <c r="C7" s="1">
        <f t="shared" si="0"/>
        <v>5.1718983557548572</v>
      </c>
      <c r="D7" s="1">
        <v>2.36</v>
      </c>
      <c r="E7" s="1">
        <f t="shared" si="1"/>
        <v>8.6860507913139493</v>
      </c>
      <c r="F7" s="1">
        <v>2.38</v>
      </c>
      <c r="G7" s="1">
        <f t="shared" si="2"/>
        <v>8.8673621460506702</v>
      </c>
      <c r="H7" s="1">
        <v>2.6</v>
      </c>
      <c r="I7" s="1">
        <f t="shared" si="3"/>
        <v>8.9531680440771346</v>
      </c>
      <c r="J7" s="1"/>
      <c r="K7" s="1"/>
    </row>
    <row r="8" spans="1:13" x14ac:dyDescent="0.3">
      <c r="A8" s="1"/>
      <c r="B8" s="1"/>
      <c r="C8" s="1"/>
      <c r="D8" s="1">
        <v>2.27</v>
      </c>
      <c r="E8" s="1">
        <f t="shared" si="1"/>
        <v>8.3548030916451967</v>
      </c>
      <c r="F8" s="1">
        <v>2.09</v>
      </c>
      <c r="G8" s="1">
        <f t="shared" si="2"/>
        <v>7.7868852459016384</v>
      </c>
      <c r="H8" s="1">
        <v>1.81</v>
      </c>
      <c r="I8" s="1">
        <f t="shared" si="3"/>
        <v>6.2327823691460065</v>
      </c>
      <c r="J8" s="1"/>
      <c r="K8" s="1"/>
    </row>
    <row r="9" spans="1:13" x14ac:dyDescent="0.3">
      <c r="A9" s="1"/>
      <c r="B9" s="1"/>
      <c r="C9" s="1"/>
      <c r="D9" s="1">
        <v>2.33</v>
      </c>
      <c r="E9" s="1">
        <f t="shared" si="1"/>
        <v>8.5756348914243645</v>
      </c>
      <c r="F9" s="1">
        <v>1.92</v>
      </c>
      <c r="G9" s="1">
        <f t="shared" si="2"/>
        <v>7.1535022354694489</v>
      </c>
      <c r="H9" s="1">
        <v>2.09</v>
      </c>
      <c r="I9" s="1">
        <f t="shared" si="3"/>
        <v>7.1969696969696964</v>
      </c>
      <c r="J9" s="1"/>
      <c r="K9" s="1"/>
    </row>
    <row r="10" spans="1:13" x14ac:dyDescent="0.3">
      <c r="A10" s="1"/>
      <c r="B10" s="1"/>
      <c r="C10" s="1"/>
      <c r="D10" s="1">
        <v>2.5499999999999998</v>
      </c>
      <c r="E10" s="1">
        <f t="shared" si="1"/>
        <v>9.3853514906146476</v>
      </c>
      <c r="F10" s="1">
        <v>1.94</v>
      </c>
      <c r="G10" s="1">
        <f t="shared" si="2"/>
        <v>7.2280178837555891</v>
      </c>
      <c r="H10" s="1">
        <v>2.83</v>
      </c>
      <c r="I10" s="1">
        <f t="shared" si="3"/>
        <v>9.7451790633608812</v>
      </c>
      <c r="J10" s="1"/>
      <c r="K10" s="1">
        <v>6.9697979999999999</v>
      </c>
    </row>
    <row r="11" spans="1:13" x14ac:dyDescent="0.3">
      <c r="A11" s="1"/>
      <c r="B11" s="1"/>
      <c r="C11" s="1"/>
      <c r="D11" s="1">
        <v>2.34</v>
      </c>
      <c r="E11" s="1">
        <f t="shared" si="1"/>
        <v>8.6124401913875595</v>
      </c>
      <c r="F11" s="1">
        <v>2.16</v>
      </c>
      <c r="G11" s="1">
        <f t="shared" si="2"/>
        <v>8.0476900149031305</v>
      </c>
      <c r="H11" s="1">
        <v>3.16</v>
      </c>
      <c r="I11" s="1">
        <f t="shared" si="3"/>
        <v>10.881542699724518</v>
      </c>
      <c r="J11" s="1"/>
      <c r="K11" s="1"/>
    </row>
    <row r="12" spans="1:13" x14ac:dyDescent="0.3">
      <c r="A12" s="1"/>
      <c r="B12" s="1"/>
      <c r="C12" s="1"/>
      <c r="D12" s="1"/>
      <c r="E12" s="1"/>
      <c r="F12" s="1">
        <v>1.81</v>
      </c>
      <c r="G12" s="1">
        <f t="shared" si="2"/>
        <v>6.743666169895679</v>
      </c>
      <c r="H12" s="1">
        <v>2.11</v>
      </c>
      <c r="I12" s="1">
        <f t="shared" si="3"/>
        <v>7.2658402203856749</v>
      </c>
      <c r="J12" s="1"/>
      <c r="K12" s="1"/>
    </row>
    <row r="13" spans="1:13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3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3" x14ac:dyDescent="0.3">
      <c r="A15" s="1" t="s">
        <v>79</v>
      </c>
      <c r="B15" s="1"/>
      <c r="C15" s="3">
        <f>AVERAGE(C2:C5,C7)</f>
        <v>4.9745889387144988</v>
      </c>
      <c r="D15" s="3"/>
      <c r="E15" s="3">
        <f>AVERAGE(E3,E5:E11)</f>
        <v>8.7918660287081334</v>
      </c>
      <c r="F15" s="3"/>
      <c r="G15" s="3">
        <f>AVERAGE(G2:G4,G8:G12)</f>
        <v>7.5540238450074515</v>
      </c>
      <c r="H15" s="3"/>
      <c r="I15" s="3">
        <f>AVERAGE(I2:I6,I8:I9,I12)</f>
        <v>6.6460055096418742</v>
      </c>
      <c r="J15" s="3"/>
      <c r="K15" s="3">
        <f>AVERAGE(K2:K3,K6)</f>
        <v>6.348821924327912</v>
      </c>
    </row>
    <row r="16" spans="1:13" x14ac:dyDescent="0.3">
      <c r="A16" s="1" t="s">
        <v>83</v>
      </c>
      <c r="B16" s="1"/>
      <c r="C16" s="3">
        <f>STDEV(C2:C5,C7)</f>
        <v>0.64452080015363167</v>
      </c>
      <c r="D16" s="3"/>
      <c r="E16" s="3">
        <f>STDEV(E3,E5:E11)</f>
        <v>0.55345797724779433</v>
      </c>
      <c r="F16" s="3"/>
      <c r="G16" s="3">
        <f>STDEV(G2:G4,G8:G12)</f>
        <v>0.66522247553658331</v>
      </c>
      <c r="H16" s="3"/>
      <c r="I16" s="3">
        <f>STDEV(I2:I6,I8:I9,I12:I13,I12,I12)</f>
        <v>0.74374496717415939</v>
      </c>
      <c r="J16" s="3"/>
      <c r="K16" s="3">
        <f>STDEV(K2:K3,K6)</f>
        <v>0.3299180127305501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2F836-CE8F-4839-B02F-BA646BC0FA28}">
  <dimension ref="A1:Q16"/>
  <sheetViews>
    <sheetView workbookViewId="0">
      <selection activeCell="G18" sqref="G18"/>
    </sheetView>
  </sheetViews>
  <sheetFormatPr defaultRowHeight="14" x14ac:dyDescent="0.3"/>
  <cols>
    <col min="1" max="16384" width="8.6640625" style="4"/>
  </cols>
  <sheetData>
    <row r="1" spans="1:17" ht="14.5" x14ac:dyDescent="0.3">
      <c r="A1" s="8" t="s">
        <v>74</v>
      </c>
      <c r="B1" s="8" t="s">
        <v>110</v>
      </c>
      <c r="C1" s="8" t="s">
        <v>111</v>
      </c>
      <c r="D1" s="4" t="s">
        <v>75</v>
      </c>
      <c r="E1" s="4" t="s">
        <v>87</v>
      </c>
      <c r="F1" s="4" t="s">
        <v>88</v>
      </c>
      <c r="G1" s="4" t="s">
        <v>76</v>
      </c>
      <c r="H1" s="4" t="s">
        <v>14</v>
      </c>
      <c r="I1" s="4" t="s">
        <v>15</v>
      </c>
      <c r="J1" s="4" t="s">
        <v>10</v>
      </c>
      <c r="K1" s="4" t="s">
        <v>16</v>
      </c>
      <c r="L1" s="4" t="s">
        <v>17</v>
      </c>
      <c r="M1" s="4" t="s">
        <v>11</v>
      </c>
      <c r="N1" s="4" t="s">
        <v>18</v>
      </c>
      <c r="O1" s="4" t="s">
        <v>19</v>
      </c>
      <c r="P1" s="4" t="s">
        <v>20</v>
      </c>
      <c r="Q1" s="4" t="s">
        <v>21</v>
      </c>
    </row>
    <row r="2" spans="1:17" ht="15" x14ac:dyDescent="0.3">
      <c r="A2" s="4">
        <v>0.33300000000000002</v>
      </c>
      <c r="B2" s="4">
        <f t="shared" ref="B2:B7" si="0">A2-0.053</f>
        <v>0.28000000000000003</v>
      </c>
      <c r="C2" s="4">
        <f t="shared" ref="C2:C7" si="1">(B2/0.533)*5.2</f>
        <v>2.7317073170731709</v>
      </c>
      <c r="D2" s="4">
        <v>0.44600000000000001</v>
      </c>
      <c r="E2" s="4">
        <f>D2-0.053</f>
        <v>0.39300000000000002</v>
      </c>
      <c r="F2" s="4">
        <f>(E2/0.533)*5.2</f>
        <v>3.8341463414634149</v>
      </c>
      <c r="G2" s="4">
        <v>0.46</v>
      </c>
      <c r="H2" s="4">
        <f>G2-0.053</f>
        <v>0.40700000000000003</v>
      </c>
      <c r="I2" s="4">
        <f>(H2/0.533)*5.2</f>
        <v>3.9707317073170731</v>
      </c>
      <c r="J2" s="4">
        <v>0.46800000000000003</v>
      </c>
      <c r="K2" s="4">
        <f>(J2-0.053)</f>
        <v>0.41500000000000004</v>
      </c>
      <c r="L2" s="4">
        <f>(K2/0.533)*5.2</f>
        <v>4.0487804878048781</v>
      </c>
      <c r="M2" s="4">
        <v>0.34799999999999998</v>
      </c>
      <c r="N2" s="4">
        <f>M2-0.053</f>
        <v>0.29499999999999998</v>
      </c>
      <c r="O2" s="4">
        <f>(N2/0.533)*5.2</f>
        <v>2.8780487804878048</v>
      </c>
      <c r="P2" s="4">
        <v>5.5E-2</v>
      </c>
      <c r="Q2" s="5">
        <v>0.56299999999999994</v>
      </c>
    </row>
    <row r="3" spans="1:17" ht="15" x14ac:dyDescent="0.3">
      <c r="A3" s="4">
        <v>0.27</v>
      </c>
      <c r="B3" s="4">
        <f t="shared" si="0"/>
        <v>0.21700000000000003</v>
      </c>
      <c r="C3" s="4">
        <f t="shared" si="1"/>
        <v>2.1170731707317074</v>
      </c>
      <c r="D3" s="4">
        <v>0.432</v>
      </c>
      <c r="E3" s="4">
        <f t="shared" ref="E3:E11" si="2">D3-0.053</f>
        <v>0.379</v>
      </c>
      <c r="F3" s="4">
        <f t="shared" ref="F3:F11" si="3">(E3/0.533)*5.2</f>
        <v>3.6975609756097558</v>
      </c>
      <c r="G3" s="4">
        <v>0.45500000000000002</v>
      </c>
      <c r="H3" s="4">
        <f t="shared" ref="H3:H13" si="4">G3-0.053</f>
        <v>0.40200000000000002</v>
      </c>
      <c r="I3" s="4">
        <f t="shared" ref="I3:I13" si="5">(H3/0.533)*5.2</f>
        <v>3.9219512195121951</v>
      </c>
      <c r="J3" s="4">
        <v>0.378</v>
      </c>
      <c r="K3" s="4">
        <f t="shared" ref="K3:K12" si="6">(J3-0.053)</f>
        <v>0.32500000000000001</v>
      </c>
      <c r="L3" s="4">
        <f t="shared" ref="L3:L12" si="7">(K3/0.533)*5.2</f>
        <v>3.1707317073170733</v>
      </c>
      <c r="M3" s="4">
        <v>0.36599999999999999</v>
      </c>
      <c r="N3" s="4">
        <f t="shared" ref="N3:N10" si="8">M3-0.053</f>
        <v>0.313</v>
      </c>
      <c r="O3" s="4">
        <f t="shared" ref="O3:O10" si="9">(N3/0.533)*5.2</f>
        <v>3.0536585365853659</v>
      </c>
      <c r="P3" s="4">
        <v>5.2999999999999999E-2</v>
      </c>
      <c r="Q3" s="5">
        <v>0.59899999999999998</v>
      </c>
    </row>
    <row r="4" spans="1:17" ht="15" x14ac:dyDescent="0.3">
      <c r="A4" s="4">
        <v>0.32500000000000001</v>
      </c>
      <c r="B4" s="4">
        <f t="shared" si="0"/>
        <v>0.27200000000000002</v>
      </c>
      <c r="C4" s="4">
        <f t="shared" si="1"/>
        <v>2.6536585365853655</v>
      </c>
      <c r="D4" s="4">
        <v>0.36599999999999999</v>
      </c>
      <c r="E4" s="4">
        <f t="shared" si="2"/>
        <v>0.313</v>
      </c>
      <c r="F4" s="4">
        <f t="shared" si="3"/>
        <v>3.0536585365853659</v>
      </c>
      <c r="G4" s="4">
        <v>0.35899999999999999</v>
      </c>
      <c r="H4" s="4">
        <f t="shared" si="4"/>
        <v>0.30599999999999999</v>
      </c>
      <c r="I4" s="4">
        <f t="shared" si="5"/>
        <v>2.9853658536585366</v>
      </c>
      <c r="J4" s="4">
        <v>0.48299999999999998</v>
      </c>
      <c r="K4" s="4">
        <f t="shared" si="6"/>
        <v>0.43</v>
      </c>
      <c r="L4" s="4">
        <f t="shared" si="7"/>
        <v>4.1951219512195124</v>
      </c>
      <c r="M4" s="4">
        <v>0.36299999999999999</v>
      </c>
      <c r="N4" s="4">
        <f t="shared" si="8"/>
        <v>0.31</v>
      </c>
      <c r="O4" s="4">
        <f t="shared" si="9"/>
        <v>3.024390243902439</v>
      </c>
      <c r="P4" s="4">
        <v>5.2999999999999999E-2</v>
      </c>
      <c r="Q4" s="5">
        <v>0.59599999999999997</v>
      </c>
    </row>
    <row r="5" spans="1:17" x14ac:dyDescent="0.3">
      <c r="A5" s="4">
        <v>0.29899999999999999</v>
      </c>
      <c r="B5" s="4">
        <f t="shared" si="0"/>
        <v>0.246</v>
      </c>
      <c r="C5" s="4">
        <f t="shared" si="1"/>
        <v>2.4</v>
      </c>
      <c r="D5" s="4">
        <v>0.39500000000000002</v>
      </c>
      <c r="E5" s="4">
        <f t="shared" si="2"/>
        <v>0.34200000000000003</v>
      </c>
      <c r="F5" s="4">
        <f t="shared" si="3"/>
        <v>3.3365853658536588</v>
      </c>
      <c r="G5" s="4">
        <v>0.36499999999999999</v>
      </c>
      <c r="H5" s="4">
        <f t="shared" si="4"/>
        <v>0.312</v>
      </c>
      <c r="I5" s="4">
        <f t="shared" si="5"/>
        <v>3.0439024390243903</v>
      </c>
      <c r="J5" s="4">
        <v>0.25600000000000001</v>
      </c>
      <c r="K5" s="4">
        <f t="shared" si="6"/>
        <v>0.20300000000000001</v>
      </c>
      <c r="L5" s="4">
        <f t="shared" si="7"/>
        <v>1.980487804878049</v>
      </c>
      <c r="M5" s="4">
        <v>0.376</v>
      </c>
      <c r="N5" s="4">
        <f t="shared" si="8"/>
        <v>0.32300000000000001</v>
      </c>
      <c r="O5" s="4">
        <f t="shared" si="9"/>
        <v>3.1512195121951221</v>
      </c>
      <c r="P5" s="4">
        <v>5.2999999999999999E-2</v>
      </c>
      <c r="Q5" s="4">
        <v>0.67900000000000005</v>
      </c>
    </row>
    <row r="6" spans="1:17" x14ac:dyDescent="0.3">
      <c r="A6" s="4">
        <v>0.26200000000000001</v>
      </c>
      <c r="B6" s="4">
        <f t="shared" si="0"/>
        <v>0.20900000000000002</v>
      </c>
      <c r="C6" s="4">
        <f t="shared" si="1"/>
        <v>2.0390243902439025</v>
      </c>
      <c r="D6" s="4">
        <v>0.42099999999999999</v>
      </c>
      <c r="E6" s="4">
        <f t="shared" si="2"/>
        <v>0.36799999999999999</v>
      </c>
      <c r="F6" s="4">
        <f t="shared" si="3"/>
        <v>3.590243902439024</v>
      </c>
      <c r="G6" s="4">
        <v>0.442</v>
      </c>
      <c r="H6" s="4">
        <f t="shared" si="4"/>
        <v>0.38900000000000001</v>
      </c>
      <c r="I6" s="4">
        <f t="shared" si="5"/>
        <v>3.795121951219512</v>
      </c>
      <c r="J6" s="4">
        <v>0.34300000000000003</v>
      </c>
      <c r="K6" s="4">
        <f t="shared" si="6"/>
        <v>0.29000000000000004</v>
      </c>
      <c r="L6" s="4">
        <f t="shared" si="7"/>
        <v>2.8292682926829271</v>
      </c>
      <c r="M6" s="4">
        <v>0.38900000000000001</v>
      </c>
      <c r="N6" s="4">
        <f t="shared" si="8"/>
        <v>0.33600000000000002</v>
      </c>
      <c r="O6" s="4">
        <f t="shared" si="9"/>
        <v>3.2780487804878051</v>
      </c>
      <c r="P6" s="4">
        <v>5.1999999999999998E-2</v>
      </c>
      <c r="Q6" s="4">
        <v>0.66700000000000004</v>
      </c>
    </row>
    <row r="7" spans="1:17" x14ac:dyDescent="0.3">
      <c r="A7" s="4">
        <v>0.316</v>
      </c>
      <c r="B7" s="4">
        <f t="shared" si="0"/>
        <v>0.26300000000000001</v>
      </c>
      <c r="C7" s="4">
        <f t="shared" si="1"/>
        <v>2.5658536585365854</v>
      </c>
      <c r="D7" s="4">
        <v>0.625</v>
      </c>
      <c r="E7" s="4">
        <f t="shared" si="2"/>
        <v>0.57199999999999995</v>
      </c>
      <c r="F7" s="4">
        <f t="shared" si="3"/>
        <v>5.5804878048780484</v>
      </c>
      <c r="G7" s="4">
        <v>0.497</v>
      </c>
      <c r="H7" s="4">
        <f t="shared" si="4"/>
        <v>0.44400000000000001</v>
      </c>
      <c r="I7" s="4">
        <f t="shared" si="5"/>
        <v>4.331707317073171</v>
      </c>
      <c r="J7" s="4">
        <v>0.46899999999999997</v>
      </c>
      <c r="K7" s="4">
        <f t="shared" si="6"/>
        <v>0.41599999999999998</v>
      </c>
      <c r="L7" s="4">
        <f t="shared" si="7"/>
        <v>4.0585365853658537</v>
      </c>
      <c r="M7" s="4">
        <v>0.36699999999999999</v>
      </c>
      <c r="N7" s="4">
        <f t="shared" si="8"/>
        <v>0.314</v>
      </c>
      <c r="O7" s="4">
        <f t="shared" si="9"/>
        <v>3.0634146341463415</v>
      </c>
      <c r="P7" s="4">
        <v>5.1999999999999998E-2</v>
      </c>
      <c r="Q7" s="4">
        <v>0.71899999999999997</v>
      </c>
    </row>
    <row r="8" spans="1:17" x14ac:dyDescent="0.3">
      <c r="C8" s="4">
        <v>2.4365899999999998</v>
      </c>
      <c r="D8" s="4">
        <v>0.52700000000000002</v>
      </c>
      <c r="E8" s="4">
        <f t="shared" si="2"/>
        <v>0.47400000000000003</v>
      </c>
      <c r="F8" s="4">
        <f t="shared" si="3"/>
        <v>4.6243902439024387</v>
      </c>
      <c r="G8" s="4">
        <v>0.505</v>
      </c>
      <c r="H8" s="4">
        <f t="shared" si="4"/>
        <v>0.45200000000000001</v>
      </c>
      <c r="I8" s="4">
        <f t="shared" si="5"/>
        <v>4.4097560975609751</v>
      </c>
      <c r="J8" s="4">
        <v>0.32</v>
      </c>
      <c r="K8" s="4">
        <f t="shared" si="6"/>
        <v>0.26700000000000002</v>
      </c>
      <c r="L8" s="4">
        <f t="shared" si="7"/>
        <v>2.6048780487804879</v>
      </c>
      <c r="M8" s="4">
        <v>0.308</v>
      </c>
      <c r="N8" s="4">
        <f t="shared" si="8"/>
        <v>0.255</v>
      </c>
      <c r="O8" s="4">
        <f t="shared" si="9"/>
        <v>2.4878048780487805</v>
      </c>
      <c r="P8" s="4" t="s">
        <v>22</v>
      </c>
    </row>
    <row r="9" spans="1:17" x14ac:dyDescent="0.3">
      <c r="C9" s="4">
        <v>2.2554280000000002</v>
      </c>
      <c r="D9" s="4">
        <v>0.41099999999999998</v>
      </c>
      <c r="E9" s="4">
        <f t="shared" si="2"/>
        <v>0.35799999999999998</v>
      </c>
      <c r="F9" s="4">
        <f t="shared" si="3"/>
        <v>3.4926829268292683</v>
      </c>
      <c r="G9" s="4">
        <v>0.40100000000000002</v>
      </c>
      <c r="H9" s="4">
        <f t="shared" si="4"/>
        <v>0.34800000000000003</v>
      </c>
      <c r="I9" s="4">
        <f t="shared" si="5"/>
        <v>3.3951219512195121</v>
      </c>
      <c r="J9" s="4">
        <v>0.32800000000000001</v>
      </c>
      <c r="K9" s="4">
        <f t="shared" si="6"/>
        <v>0.27500000000000002</v>
      </c>
      <c r="L9" s="4">
        <f t="shared" si="7"/>
        <v>2.6829268292682928</v>
      </c>
      <c r="M9" s="4">
        <v>0.375</v>
      </c>
      <c r="N9" s="4">
        <f t="shared" si="8"/>
        <v>0.32200000000000001</v>
      </c>
      <c r="O9" s="4">
        <f t="shared" si="9"/>
        <v>3.141463414634146</v>
      </c>
      <c r="P9" s="4">
        <f>AVERAGE(P2:P7)</f>
        <v>5.2999999999999999E-2</v>
      </c>
      <c r="Q9" s="4" t="s">
        <v>23</v>
      </c>
    </row>
    <row r="10" spans="1:17" x14ac:dyDescent="0.3">
      <c r="D10" s="4">
        <v>0.47</v>
      </c>
      <c r="E10" s="4">
        <f t="shared" si="2"/>
        <v>0.41699999999999998</v>
      </c>
      <c r="F10" s="4">
        <f t="shared" si="3"/>
        <v>4.0682926829268293</v>
      </c>
      <c r="G10" s="4">
        <v>0.34200000000000003</v>
      </c>
      <c r="H10" s="4">
        <f t="shared" si="4"/>
        <v>0.28900000000000003</v>
      </c>
      <c r="I10" s="4">
        <f t="shared" si="5"/>
        <v>2.8195121951219519</v>
      </c>
      <c r="J10" s="4">
        <v>0.372</v>
      </c>
      <c r="K10" s="4">
        <f t="shared" si="6"/>
        <v>0.31900000000000001</v>
      </c>
      <c r="L10" s="4">
        <f t="shared" si="7"/>
        <v>3.1121951219512196</v>
      </c>
      <c r="M10" s="4">
        <v>0.51300000000000001</v>
      </c>
      <c r="N10" s="4">
        <f t="shared" si="8"/>
        <v>0.46</v>
      </c>
      <c r="O10" s="4">
        <f t="shared" si="9"/>
        <v>4.4878048780487809</v>
      </c>
      <c r="Q10" s="4">
        <f>AVERAGE(Q2:Q4)</f>
        <v>0.58599999999999997</v>
      </c>
    </row>
    <row r="11" spans="1:17" x14ac:dyDescent="0.3">
      <c r="D11" s="4">
        <v>0.57099999999999995</v>
      </c>
      <c r="E11" s="4">
        <f t="shared" si="2"/>
        <v>0.5179999999999999</v>
      </c>
      <c r="F11" s="4">
        <f t="shared" si="3"/>
        <v>5.053658536585365</v>
      </c>
      <c r="G11" s="4">
        <v>0.39</v>
      </c>
      <c r="H11" s="4">
        <f t="shared" si="4"/>
        <v>0.33700000000000002</v>
      </c>
      <c r="I11" s="4">
        <f t="shared" si="5"/>
        <v>3.2878048780487803</v>
      </c>
      <c r="J11" s="4">
        <v>0.439</v>
      </c>
      <c r="K11" s="4">
        <f t="shared" si="6"/>
        <v>0.38600000000000001</v>
      </c>
      <c r="L11" s="4">
        <f t="shared" si="7"/>
        <v>3.7658536585365856</v>
      </c>
      <c r="Q11" s="4" t="s">
        <v>24</v>
      </c>
    </row>
    <row r="12" spans="1:17" x14ac:dyDescent="0.3">
      <c r="G12" s="4">
        <v>0.42199999999999999</v>
      </c>
      <c r="H12" s="4">
        <f t="shared" si="4"/>
        <v>0.36899999999999999</v>
      </c>
      <c r="I12" s="4">
        <f t="shared" si="5"/>
        <v>3.6</v>
      </c>
      <c r="J12" s="4">
        <v>0.40699999999999997</v>
      </c>
      <c r="K12" s="4">
        <f t="shared" si="6"/>
        <v>0.35399999999999998</v>
      </c>
      <c r="L12" s="4">
        <f t="shared" si="7"/>
        <v>3.4536585365853658</v>
      </c>
      <c r="Q12" s="4">
        <f>Q10-0.053</f>
        <v>0.53299999999999992</v>
      </c>
    </row>
    <row r="13" spans="1:17" x14ac:dyDescent="0.3">
      <c r="G13" s="4">
        <v>0.46400000000000002</v>
      </c>
      <c r="H13" s="4">
        <f t="shared" si="4"/>
        <v>0.41100000000000003</v>
      </c>
      <c r="I13" s="4">
        <f t="shared" si="5"/>
        <v>4.0097560975609756</v>
      </c>
    </row>
    <row r="15" spans="1:17" x14ac:dyDescent="0.3">
      <c r="C15" s="6">
        <f>AVERAGE(C2:C9)</f>
        <v>2.3999168841463412</v>
      </c>
      <c r="D15" s="6"/>
      <c r="E15" s="6"/>
      <c r="F15" s="6">
        <f>AVERAGE(F2:F6,F8:F10)</f>
        <v>3.7121951219512193</v>
      </c>
      <c r="G15" s="6"/>
      <c r="H15" s="6"/>
      <c r="I15" s="6">
        <f>AVERAGE(I2:I3,I5:I6,I9:I12)</f>
        <v>3.4792682926829275</v>
      </c>
      <c r="J15" s="6"/>
      <c r="K15" s="6"/>
      <c r="L15" s="6">
        <f>AVERAGE(L3:L6,L9:L12)</f>
        <v>3.1487804878048782</v>
      </c>
      <c r="M15" s="6"/>
      <c r="N15" s="6"/>
      <c r="O15" s="6">
        <f>AVERAGE(O2:O9)</f>
        <v>3.0097560975609756</v>
      </c>
      <c r="P15" s="6"/>
    </row>
    <row r="16" spans="1:17" x14ac:dyDescent="0.3">
      <c r="C16" s="6">
        <f>STDEV(C2:C9)</f>
        <v>0.24913296822870529</v>
      </c>
      <c r="D16" s="6"/>
      <c r="E16" s="6"/>
      <c r="F16" s="6">
        <f>STDEV(F2:F6,F8:F10)</f>
        <v>0.47985153931976204</v>
      </c>
      <c r="G16" s="6"/>
      <c r="H16" s="6"/>
      <c r="I16" s="6">
        <f>STDEV(I2:I3,I5:I6,I9:I12)</f>
        <v>0.41754461200799581</v>
      </c>
      <c r="J16" s="6"/>
      <c r="K16" s="6"/>
      <c r="L16" s="6">
        <f>STDEV(L3:L6,L9:L12)</f>
        <v>0.68184583434992518</v>
      </c>
      <c r="M16" s="6"/>
      <c r="N16" s="6"/>
      <c r="O16" s="6">
        <f>STDEV(O2:O9)</f>
        <v>0.24027971575509316</v>
      </c>
      <c r="P16" s="6"/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1203E-0861-4C98-8B93-0B6141A3A927}">
  <dimension ref="A1:T15"/>
  <sheetViews>
    <sheetView topLeftCell="A13" workbookViewId="0">
      <selection activeCell="F16" sqref="F16"/>
    </sheetView>
  </sheetViews>
  <sheetFormatPr defaultRowHeight="14" x14ac:dyDescent="0.3"/>
  <cols>
    <col min="1" max="16384" width="8.6640625" style="4"/>
  </cols>
  <sheetData>
    <row r="1" spans="1:20" ht="15" x14ac:dyDescent="0.3">
      <c r="A1" s="8" t="s">
        <v>74</v>
      </c>
      <c r="B1" s="8" t="s">
        <v>110</v>
      </c>
      <c r="C1" s="8" t="s">
        <v>111</v>
      </c>
      <c r="D1" s="4" t="s">
        <v>75</v>
      </c>
      <c r="E1" s="4" t="s">
        <v>87</v>
      </c>
      <c r="F1" s="4" t="s">
        <v>88</v>
      </c>
      <c r="G1" s="4" t="s">
        <v>9</v>
      </c>
      <c r="H1" s="4" t="s">
        <v>14</v>
      </c>
      <c r="I1" s="5" t="s">
        <v>15</v>
      </c>
      <c r="J1" s="4" t="s">
        <v>10</v>
      </c>
      <c r="K1" s="4" t="s">
        <v>16</v>
      </c>
      <c r="L1" s="5" t="s">
        <v>17</v>
      </c>
      <c r="M1" s="4" t="s">
        <v>11</v>
      </c>
      <c r="N1" s="4" t="s">
        <v>18</v>
      </c>
      <c r="O1" s="5" t="s">
        <v>19</v>
      </c>
      <c r="P1" s="4" t="s">
        <v>7</v>
      </c>
      <c r="Q1" s="4" t="s">
        <v>13</v>
      </c>
      <c r="R1" s="5" t="s">
        <v>26</v>
      </c>
      <c r="S1" s="4" t="s">
        <v>20</v>
      </c>
      <c r="T1" s="4" t="s">
        <v>21</v>
      </c>
    </row>
    <row r="2" spans="1:20" ht="15" x14ac:dyDescent="0.3">
      <c r="A2" s="4">
        <v>0.14099999999999999</v>
      </c>
      <c r="B2" s="4">
        <f t="shared" ref="B2:B7" si="0">A2-0.059</f>
        <v>8.199999999999999E-2</v>
      </c>
      <c r="C2" s="5">
        <f>(B2/0.12225)*2.26</f>
        <v>1.5159100204498976</v>
      </c>
      <c r="D2" s="4">
        <v>0.17599999999999999</v>
      </c>
      <c r="E2" s="4">
        <f>D2-0.059</f>
        <v>0.11699999999999999</v>
      </c>
      <c r="F2" s="5">
        <f>(E2/0.12225)*2.26</f>
        <v>2.162944785276073</v>
      </c>
      <c r="G2" s="4">
        <v>0.224</v>
      </c>
      <c r="H2" s="4">
        <f>G2-0.059</f>
        <v>0.16500000000000001</v>
      </c>
      <c r="I2" s="5">
        <f>(H2/0.12225)*2.26</f>
        <v>3.0503067484662574</v>
      </c>
      <c r="J2" s="4">
        <v>0.157</v>
      </c>
      <c r="K2" s="4">
        <f>J2-0.059</f>
        <v>9.8000000000000004E-2</v>
      </c>
      <c r="L2" s="5">
        <f>(K2/0.12225)*2.26</f>
        <v>1.8116973415132924</v>
      </c>
      <c r="M2" s="4">
        <v>0.16400000000000001</v>
      </c>
      <c r="N2" s="4">
        <f>M2-0.059</f>
        <v>0.10500000000000001</v>
      </c>
      <c r="O2" s="4">
        <v>1.2368920000000001</v>
      </c>
      <c r="P2" s="4">
        <v>0.13300000000000001</v>
      </c>
      <c r="Q2" s="4">
        <f>P2-0.059</f>
        <v>7.400000000000001E-2</v>
      </c>
      <c r="R2" s="5">
        <f>(Q2/0.12225)*2.26</f>
        <v>1.3680163599182005</v>
      </c>
      <c r="S2" s="4">
        <v>5.8999999999999997E-2</v>
      </c>
      <c r="T2" s="4">
        <v>0.183</v>
      </c>
    </row>
    <row r="3" spans="1:20" ht="15" x14ac:dyDescent="0.3">
      <c r="A3" s="4">
        <v>0.126</v>
      </c>
      <c r="B3" s="4">
        <f t="shared" si="0"/>
        <v>6.7000000000000004E-2</v>
      </c>
      <c r="C3" s="5">
        <v>0.98211000000000004</v>
      </c>
      <c r="D3" s="4">
        <v>0.156</v>
      </c>
      <c r="E3" s="4">
        <f t="shared" ref="E3:E11" si="1">D3-0.059</f>
        <v>9.7000000000000003E-2</v>
      </c>
      <c r="F3" s="5">
        <f t="shared" ref="F3:F11" si="2">(E3/0.12225)*2.26</f>
        <v>1.7932106339468301</v>
      </c>
      <c r="G3" s="4">
        <v>0.123</v>
      </c>
      <c r="H3" s="4">
        <f t="shared" ref="H3:H12" si="3">G3-0.059</f>
        <v>6.4000000000000001E-2</v>
      </c>
      <c r="I3" s="5">
        <f t="shared" ref="I3:I12" si="4">(H3/0.12225)*2.26</f>
        <v>1.1831492842535787</v>
      </c>
      <c r="J3" s="4">
        <v>0.126</v>
      </c>
      <c r="K3" s="4">
        <f t="shared" ref="K3:K12" si="5">J3-0.059</f>
        <v>6.7000000000000004E-2</v>
      </c>
      <c r="L3" s="5">
        <f t="shared" ref="L3:L12" si="6">(K3/0.12225)*2.26</f>
        <v>1.2386094069529652</v>
      </c>
      <c r="M3" s="4">
        <v>0.13400000000000001</v>
      </c>
      <c r="N3" s="4">
        <f t="shared" ref="N3:N10" si="7">M3-0.059</f>
        <v>7.5000000000000011E-2</v>
      </c>
      <c r="O3" s="5">
        <f t="shared" ref="O3:O9" si="8">(N3/0.12225)*2.26</f>
        <v>1.3865030674846628</v>
      </c>
      <c r="P3" s="4">
        <v>0.104</v>
      </c>
      <c r="Q3" s="4">
        <f t="shared" ref="Q3:Q9" si="9">P3-0.059</f>
        <v>4.4999999999999998E-2</v>
      </c>
      <c r="R3" s="5">
        <f t="shared" ref="R3:R9" si="10">(Q3/0.12225)*2.26</f>
        <v>0.83190184049079741</v>
      </c>
      <c r="S3" s="4">
        <v>5.8000000000000003E-2</v>
      </c>
      <c r="T3" s="4">
        <v>0.17599999999999999</v>
      </c>
    </row>
    <row r="4" spans="1:20" ht="15" x14ac:dyDescent="0.3">
      <c r="A4" s="4">
        <v>0.12</v>
      </c>
      <c r="B4" s="4">
        <f t="shared" si="0"/>
        <v>6.0999999999999999E-2</v>
      </c>
      <c r="C4" s="5">
        <f>(B4/0.12225)*2.26</f>
        <v>1.1276891615541922</v>
      </c>
      <c r="D4" s="4">
        <v>0.13300000000000001</v>
      </c>
      <c r="E4" s="4">
        <f t="shared" si="1"/>
        <v>7.400000000000001E-2</v>
      </c>
      <c r="F4" s="5">
        <f t="shared" si="2"/>
        <v>1.3680163599182005</v>
      </c>
      <c r="G4" s="4">
        <v>0.19700000000000001</v>
      </c>
      <c r="H4" s="4">
        <f t="shared" si="3"/>
        <v>0.13800000000000001</v>
      </c>
      <c r="I4" s="5">
        <f t="shared" si="4"/>
        <v>2.5511656441717792</v>
      </c>
      <c r="J4" s="4">
        <v>0.11</v>
      </c>
      <c r="K4" s="4">
        <f t="shared" si="5"/>
        <v>5.1000000000000004E-2</v>
      </c>
      <c r="L4" s="5">
        <f t="shared" si="6"/>
        <v>0.9428220858895705</v>
      </c>
      <c r="M4" s="4">
        <v>0.12</v>
      </c>
      <c r="N4" s="4">
        <f t="shared" si="7"/>
        <v>6.0999999999999999E-2</v>
      </c>
      <c r="O4" s="5">
        <f t="shared" si="8"/>
        <v>1.1276891615541922</v>
      </c>
      <c r="P4" s="4">
        <v>0.626</v>
      </c>
      <c r="Q4" s="4">
        <f t="shared" si="9"/>
        <v>0.56699999999999995</v>
      </c>
      <c r="R4" s="5">
        <v>1.32</v>
      </c>
      <c r="S4" s="4">
        <v>5.8999999999999997E-2</v>
      </c>
      <c r="T4" s="4">
        <v>0.188</v>
      </c>
    </row>
    <row r="5" spans="1:20" ht="15" x14ac:dyDescent="0.3">
      <c r="A5" s="4">
        <v>0.17899999999999999</v>
      </c>
      <c r="B5" s="4">
        <f t="shared" si="0"/>
        <v>0.12</v>
      </c>
      <c r="C5" s="5">
        <v>1.218405</v>
      </c>
      <c r="D5" s="4">
        <v>0.123</v>
      </c>
      <c r="E5" s="4">
        <f t="shared" si="1"/>
        <v>6.4000000000000001E-2</v>
      </c>
      <c r="F5" s="5">
        <f t="shared" si="2"/>
        <v>1.1831492842535787</v>
      </c>
      <c r="G5" s="4">
        <v>0.13500000000000001</v>
      </c>
      <c r="H5" s="4">
        <f t="shared" si="3"/>
        <v>7.6000000000000012E-2</v>
      </c>
      <c r="I5" s="5">
        <f t="shared" si="4"/>
        <v>1.4049897750511249</v>
      </c>
      <c r="J5" s="4">
        <v>0.114</v>
      </c>
      <c r="K5" s="4">
        <f t="shared" si="5"/>
        <v>5.5000000000000007E-2</v>
      </c>
      <c r="L5" s="5">
        <f t="shared" si="6"/>
        <v>1.0167689161554194</v>
      </c>
      <c r="M5" s="4">
        <v>0.124</v>
      </c>
      <c r="N5" s="4">
        <f t="shared" si="7"/>
        <v>6.5000000000000002E-2</v>
      </c>
      <c r="O5" s="5">
        <f t="shared" si="8"/>
        <v>1.201635991820041</v>
      </c>
      <c r="P5" s="4">
        <v>0.106</v>
      </c>
      <c r="Q5" s="4">
        <f t="shared" si="9"/>
        <v>4.7E-2</v>
      </c>
      <c r="R5" s="5">
        <f t="shared" si="10"/>
        <v>0.86887525562372181</v>
      </c>
      <c r="S5" s="4">
        <v>0.06</v>
      </c>
      <c r="T5" s="4">
        <v>0.17799999999999999</v>
      </c>
    </row>
    <row r="6" spans="1:20" ht="15" x14ac:dyDescent="0.3">
      <c r="A6" s="4">
        <v>0.127</v>
      </c>
      <c r="B6" s="4">
        <f t="shared" si="0"/>
        <v>6.8000000000000005E-2</v>
      </c>
      <c r="C6" s="5">
        <f>(B6/0.12225)*2.26</f>
        <v>1.2570961145194275</v>
      </c>
      <c r="D6" s="4">
        <v>0.183</v>
      </c>
      <c r="E6" s="4">
        <f t="shared" si="1"/>
        <v>0.124</v>
      </c>
      <c r="F6" s="5">
        <f t="shared" si="2"/>
        <v>2.2923517382413086</v>
      </c>
      <c r="G6" s="4">
        <v>0.13</v>
      </c>
      <c r="H6" s="4">
        <f t="shared" si="3"/>
        <v>7.1000000000000008E-2</v>
      </c>
      <c r="I6" s="5">
        <f t="shared" si="4"/>
        <v>1.312556237218814</v>
      </c>
      <c r="J6" s="4">
        <v>0.115</v>
      </c>
      <c r="K6" s="4">
        <f t="shared" si="5"/>
        <v>5.6000000000000008E-2</v>
      </c>
      <c r="L6" s="5">
        <f t="shared" si="6"/>
        <v>1.0352556237218815</v>
      </c>
      <c r="M6" s="4">
        <v>0.16400000000000001</v>
      </c>
      <c r="N6" s="4">
        <f t="shared" si="7"/>
        <v>0.10500000000000001</v>
      </c>
      <c r="O6" s="5">
        <f t="shared" si="8"/>
        <v>1.9411042944785277</v>
      </c>
      <c r="P6" s="4">
        <v>0.54800000000000004</v>
      </c>
      <c r="Q6" s="4">
        <f t="shared" si="9"/>
        <v>0.48900000000000005</v>
      </c>
      <c r="R6" s="5">
        <v>0.90400000000000003</v>
      </c>
      <c r="S6" s="4" t="s">
        <v>22</v>
      </c>
    </row>
    <row r="7" spans="1:20" ht="15" x14ac:dyDescent="0.3">
      <c r="A7" s="4">
        <v>0.14799999999999999</v>
      </c>
      <c r="B7" s="4">
        <f t="shared" si="0"/>
        <v>8.8999999999999996E-2</v>
      </c>
      <c r="C7" s="5">
        <v>1.155376</v>
      </c>
      <c r="D7" s="4">
        <v>0.33600000000000002</v>
      </c>
      <c r="E7" s="4">
        <f t="shared" si="1"/>
        <v>0.27700000000000002</v>
      </c>
      <c r="F7" s="5">
        <f t="shared" si="2"/>
        <v>5.12081799591002</v>
      </c>
      <c r="G7" s="4">
        <v>0.14299999999999999</v>
      </c>
      <c r="H7" s="4">
        <f t="shared" si="3"/>
        <v>8.3999999999999991E-2</v>
      </c>
      <c r="I7" s="5">
        <f t="shared" si="4"/>
        <v>1.5528834355828218</v>
      </c>
      <c r="J7" s="4">
        <v>0.252</v>
      </c>
      <c r="K7" s="4">
        <f t="shared" si="5"/>
        <v>0.193</v>
      </c>
      <c r="L7" s="5">
        <f t="shared" si="6"/>
        <v>3.5679345603271981</v>
      </c>
      <c r="M7" s="4">
        <v>0.18</v>
      </c>
      <c r="N7" s="4">
        <f t="shared" si="7"/>
        <v>0.121</v>
      </c>
      <c r="O7" s="5">
        <f t="shared" si="8"/>
        <v>2.2368916155419223</v>
      </c>
      <c r="P7" s="4">
        <v>0.112</v>
      </c>
      <c r="Q7" s="4">
        <f t="shared" si="9"/>
        <v>5.3000000000000005E-2</v>
      </c>
      <c r="R7" s="5">
        <f t="shared" si="10"/>
        <v>0.97979550102249491</v>
      </c>
      <c r="S7" s="4">
        <f>AVERAGE(S2:S5)</f>
        <v>5.8999999999999997E-2</v>
      </c>
    </row>
    <row r="8" spans="1:20" ht="15" x14ac:dyDescent="0.3">
      <c r="C8" s="5">
        <v>1.1269450000000001</v>
      </c>
      <c r="D8" s="4">
        <v>0.18099999999999999</v>
      </c>
      <c r="E8" s="4">
        <f t="shared" si="1"/>
        <v>0.122</v>
      </c>
      <c r="F8" s="5">
        <f t="shared" si="2"/>
        <v>2.2553783231083844</v>
      </c>
      <c r="G8" s="4">
        <v>0.15</v>
      </c>
      <c r="H8" s="4">
        <f t="shared" si="3"/>
        <v>9.0999999999999998E-2</v>
      </c>
      <c r="I8" s="5">
        <f t="shared" si="4"/>
        <v>1.6822903885480571</v>
      </c>
      <c r="J8" s="4">
        <v>0.127</v>
      </c>
      <c r="K8" s="4">
        <f t="shared" si="5"/>
        <v>6.8000000000000005E-2</v>
      </c>
      <c r="L8" s="5">
        <f t="shared" si="6"/>
        <v>1.2570961145194275</v>
      </c>
      <c r="M8" s="4">
        <v>0.11700000000000001</v>
      </c>
      <c r="N8" s="4">
        <f t="shared" si="7"/>
        <v>5.800000000000001E-2</v>
      </c>
      <c r="O8" s="5">
        <f t="shared" si="8"/>
        <v>1.0722290388548059</v>
      </c>
      <c r="P8" s="4">
        <v>0.157</v>
      </c>
      <c r="Q8" s="4">
        <f t="shared" si="9"/>
        <v>9.8000000000000004E-2</v>
      </c>
      <c r="R8" s="5">
        <f t="shared" si="10"/>
        <v>1.8116973415132924</v>
      </c>
      <c r="T8" s="4" t="s">
        <v>23</v>
      </c>
    </row>
    <row r="9" spans="1:20" ht="15" x14ac:dyDescent="0.3">
      <c r="C9" s="5">
        <v>1.1811697000000001</v>
      </c>
      <c r="D9" s="4">
        <v>0.20100000000000001</v>
      </c>
      <c r="E9" s="4">
        <f t="shared" si="1"/>
        <v>0.14200000000000002</v>
      </c>
      <c r="F9" s="5">
        <v>1.6251279999999999</v>
      </c>
      <c r="G9" s="4">
        <v>0.14199999999999999</v>
      </c>
      <c r="H9" s="4">
        <f t="shared" si="3"/>
        <v>8.299999999999999E-2</v>
      </c>
      <c r="I9" s="5">
        <f t="shared" si="4"/>
        <v>1.5343967280163595</v>
      </c>
      <c r="J9" s="4">
        <v>0.114</v>
      </c>
      <c r="K9" s="4">
        <f t="shared" si="5"/>
        <v>5.5000000000000007E-2</v>
      </c>
      <c r="L9" s="5">
        <f t="shared" si="6"/>
        <v>1.0167689161554194</v>
      </c>
      <c r="M9" s="4">
        <v>0.13300000000000001</v>
      </c>
      <c r="N9" s="4">
        <f t="shared" si="7"/>
        <v>7.400000000000001E-2</v>
      </c>
      <c r="O9" s="5">
        <f t="shared" si="8"/>
        <v>1.3680163599182005</v>
      </c>
      <c r="P9" s="4">
        <v>0.16600000000000001</v>
      </c>
      <c r="Q9" s="4">
        <f t="shared" si="9"/>
        <v>0.10700000000000001</v>
      </c>
      <c r="R9" s="5">
        <f t="shared" si="10"/>
        <v>1.9780777096114519</v>
      </c>
      <c r="T9" s="4">
        <f>AVERAGE(T2:T5)</f>
        <v>0.18124999999999997</v>
      </c>
    </row>
    <row r="10" spans="1:20" ht="15" x14ac:dyDescent="0.3">
      <c r="D10" s="4">
        <v>0.156</v>
      </c>
      <c r="E10" s="4">
        <f t="shared" si="1"/>
        <v>9.7000000000000003E-2</v>
      </c>
      <c r="F10" s="5">
        <f t="shared" si="2"/>
        <v>1.7932106339468301</v>
      </c>
      <c r="G10" s="4">
        <v>0.13100000000000001</v>
      </c>
      <c r="H10" s="4">
        <f t="shared" si="3"/>
        <v>7.2000000000000008E-2</v>
      </c>
      <c r="I10" s="5">
        <f t="shared" si="4"/>
        <v>1.3310429447852761</v>
      </c>
      <c r="J10" s="4">
        <v>0.11600000000000001</v>
      </c>
      <c r="K10" s="4">
        <f t="shared" si="5"/>
        <v>5.7000000000000009E-2</v>
      </c>
      <c r="L10" s="5">
        <f t="shared" si="6"/>
        <v>1.0537423312883436</v>
      </c>
      <c r="M10" s="4">
        <v>0.42599999999999999</v>
      </c>
      <c r="N10" s="4">
        <f t="shared" si="7"/>
        <v>0.36699999999999999</v>
      </c>
      <c r="O10" s="4">
        <v>1.1846220000000001</v>
      </c>
      <c r="T10" s="4" t="s">
        <v>24</v>
      </c>
    </row>
    <row r="11" spans="1:20" ht="15" x14ac:dyDescent="0.3">
      <c r="D11" s="4">
        <v>0.17599999999999999</v>
      </c>
      <c r="E11" s="4">
        <f t="shared" si="1"/>
        <v>0.11699999999999999</v>
      </c>
      <c r="F11" s="5">
        <f t="shared" si="2"/>
        <v>2.162944785276073</v>
      </c>
      <c r="G11" s="4">
        <v>0.14799999999999999</v>
      </c>
      <c r="H11" s="4">
        <f t="shared" si="3"/>
        <v>8.8999999999999996E-2</v>
      </c>
      <c r="I11" s="5">
        <v>1.2831490000000001</v>
      </c>
      <c r="J11" s="4">
        <v>0.13400000000000001</v>
      </c>
      <c r="K11" s="4">
        <f t="shared" si="5"/>
        <v>7.5000000000000011E-2</v>
      </c>
      <c r="L11" s="5">
        <f t="shared" si="6"/>
        <v>1.3865030674846628</v>
      </c>
      <c r="N11" s="4">
        <v>5.0999999999999997E-2</v>
      </c>
      <c r="O11" s="4">
        <v>0.94110400000000005</v>
      </c>
      <c r="T11" s="4">
        <f>T9-0.059</f>
        <v>0.12224999999999997</v>
      </c>
    </row>
    <row r="12" spans="1:20" ht="15" x14ac:dyDescent="0.3">
      <c r="G12" s="4">
        <v>0.14000000000000001</v>
      </c>
      <c r="H12" s="4">
        <f t="shared" si="3"/>
        <v>8.1000000000000016E-2</v>
      </c>
      <c r="I12" s="5">
        <f t="shared" si="4"/>
        <v>1.4974233128834358</v>
      </c>
      <c r="J12" s="4">
        <v>0.13500000000000001</v>
      </c>
      <c r="K12" s="4">
        <f t="shared" si="5"/>
        <v>7.6000000000000012E-2</v>
      </c>
      <c r="L12" s="5">
        <f t="shared" si="6"/>
        <v>1.4049897750511249</v>
      </c>
    </row>
    <row r="13" spans="1:20" ht="15" x14ac:dyDescent="0.3">
      <c r="B13" s="6"/>
      <c r="C13" s="6">
        <f>AVERAGE(C2:C9)</f>
        <v>1.1955876245654398</v>
      </c>
      <c r="E13" s="6"/>
      <c r="F13" s="7">
        <f>AVERAGE(F2:F4,F6,F8:F11)</f>
        <v>1.9316481574642124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20" ht="15" x14ac:dyDescent="0.3">
      <c r="B14" s="6"/>
      <c r="C14" s="6"/>
      <c r="E14" s="6"/>
      <c r="F14" s="6"/>
      <c r="G14" s="6"/>
      <c r="H14" s="6"/>
      <c r="I14" s="7">
        <f>AVERAGE(I5:I12)</f>
        <v>1.4498414777607362</v>
      </c>
      <c r="J14" s="6"/>
      <c r="K14" s="6"/>
      <c r="L14" s="7">
        <f>AVERAGE(L3:L6,L8:L11)</f>
        <v>1.1184458077709611</v>
      </c>
      <c r="M14" s="6"/>
      <c r="N14" s="6"/>
      <c r="O14" s="6">
        <f>AVERAGE(O2:O5,O8:O11)</f>
        <v>1.1898364524539877</v>
      </c>
      <c r="P14" s="6"/>
      <c r="Q14" s="6"/>
      <c r="R14" s="6">
        <f>AVERAGE(R2:R9)</f>
        <v>1.2577955010224948</v>
      </c>
    </row>
    <row r="15" spans="1:20" x14ac:dyDescent="0.3">
      <c r="B15" s="6"/>
      <c r="C15" s="6">
        <f>STDEV(C2:C9)</f>
        <v>0.15289114845858323</v>
      </c>
      <c r="E15" s="6"/>
      <c r="F15" s="6">
        <f>STDEV(F2:F4,F6,F8:F11)</f>
        <v>0.33633950946281105</v>
      </c>
      <c r="G15" s="6"/>
      <c r="H15" s="6"/>
      <c r="I15" s="6">
        <f>STDEV(I5:I12)</f>
        <v>0.13980708579181272</v>
      </c>
      <c r="J15" s="6"/>
      <c r="K15" s="6"/>
      <c r="L15" s="6">
        <f>STDEV(L3:L6,L8:L11)</f>
        <v>0.15498622587220184</v>
      </c>
      <c r="M15" s="6"/>
      <c r="N15" s="6"/>
      <c r="O15" s="6">
        <f>AVERAGE(STDEV(O2:O5,O8:O11))</f>
        <v>0.14753600214065482</v>
      </c>
      <c r="P15" s="6"/>
      <c r="Q15" s="6"/>
      <c r="R15" s="6">
        <f>STDEV(R2:R9)</f>
        <v>0.4434815780106186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BF718-D5F1-48DE-8CC9-2AE3E3779E04}">
  <dimension ref="A1:V16"/>
  <sheetViews>
    <sheetView topLeftCell="A7" workbookViewId="0">
      <selection activeCell="J28" sqref="J28"/>
    </sheetView>
  </sheetViews>
  <sheetFormatPr defaultRowHeight="14" x14ac:dyDescent="0.3"/>
  <cols>
    <col min="1" max="16384" width="8.6640625" style="4"/>
  </cols>
  <sheetData>
    <row r="1" spans="1:22" ht="15" x14ac:dyDescent="0.3">
      <c r="B1" s="8" t="s">
        <v>74</v>
      </c>
      <c r="C1" s="8" t="s">
        <v>110</v>
      </c>
      <c r="D1" s="8" t="s">
        <v>111</v>
      </c>
      <c r="E1" s="4" t="s">
        <v>75</v>
      </c>
      <c r="F1" s="4" t="s">
        <v>87</v>
      </c>
      <c r="G1" s="4" t="s">
        <v>88</v>
      </c>
      <c r="H1" s="4" t="s">
        <v>27</v>
      </c>
      <c r="I1" s="4" t="s">
        <v>14</v>
      </c>
      <c r="J1" s="5" t="s">
        <v>15</v>
      </c>
      <c r="K1" s="4" t="s">
        <v>28</v>
      </c>
      <c r="L1" s="4" t="s">
        <v>16</v>
      </c>
      <c r="M1" s="5" t="s">
        <v>17</v>
      </c>
      <c r="N1" s="4" t="s">
        <v>29</v>
      </c>
      <c r="O1" s="4" t="s">
        <v>18</v>
      </c>
      <c r="P1" s="5" t="s">
        <v>19</v>
      </c>
      <c r="Q1" s="4" t="s">
        <v>21</v>
      </c>
      <c r="R1" s="4" t="s">
        <v>20</v>
      </c>
    </row>
    <row r="2" spans="1:22" ht="15" x14ac:dyDescent="0.3">
      <c r="A2" s="4" t="s">
        <v>30</v>
      </c>
      <c r="B2" s="4">
        <v>0.27100000000000002</v>
      </c>
      <c r="C2" s="4">
        <f>B2-0.047</f>
        <v>0.22400000000000003</v>
      </c>
      <c r="D2" s="5">
        <f>(C2/0.4898)*2.6</f>
        <v>1.1890567578603513</v>
      </c>
      <c r="E2" s="4">
        <v>0.437</v>
      </c>
      <c r="F2" s="4">
        <f>E2-0.047</f>
        <v>0.39</v>
      </c>
      <c r="G2" s="5">
        <f>(F2/0.4898)*2.6</f>
        <v>2.070232748060433</v>
      </c>
      <c r="H2" s="4">
        <v>0.41799999999999998</v>
      </c>
      <c r="I2" s="4">
        <f>H2-0.047</f>
        <v>0.371</v>
      </c>
      <c r="J2" s="5">
        <f>(I2/0.4898)*2.6</f>
        <v>1.9693752552062067</v>
      </c>
      <c r="K2" s="4">
        <v>0.39200000000000002</v>
      </c>
      <c r="L2" s="4">
        <f>K2-0.047</f>
        <v>0.34500000000000003</v>
      </c>
      <c r="M2" s="5">
        <f>(L2/0.4898)*2.6</f>
        <v>1.8313597386688445</v>
      </c>
      <c r="N2" s="4">
        <v>0.309</v>
      </c>
      <c r="O2" s="4">
        <f>N2-0.047</f>
        <v>0.26200000000000001</v>
      </c>
      <c r="P2" s="5">
        <f>(O2/0.4898)*2.6</f>
        <v>1.3907717435688036</v>
      </c>
      <c r="Q2" s="4">
        <v>0.57699999999999996</v>
      </c>
      <c r="R2" s="4">
        <v>4.7E-2</v>
      </c>
    </row>
    <row r="3" spans="1:22" ht="15" x14ac:dyDescent="0.3">
      <c r="A3" s="4" t="s">
        <v>31</v>
      </c>
      <c r="B3" s="4">
        <v>0.26100000000000001</v>
      </c>
      <c r="C3" s="4">
        <f t="shared" ref="C3:C13" si="0">B3-0.047</f>
        <v>0.21400000000000002</v>
      </c>
      <c r="D3" s="5">
        <f t="shared" ref="D3:D13" si="1">(C3/0.4898)*2.6</f>
        <v>1.1359738668844428</v>
      </c>
      <c r="E3" s="4">
        <v>0.316</v>
      </c>
      <c r="F3" s="4">
        <f t="shared" ref="F3:F11" si="2">E3-0.047</f>
        <v>0.26900000000000002</v>
      </c>
      <c r="G3" s="5">
        <f t="shared" ref="G3:G11" si="3">(F3/0.4898)*2.6</f>
        <v>1.4279297672519395</v>
      </c>
      <c r="H3" s="4">
        <v>0.372</v>
      </c>
      <c r="I3" s="4">
        <f t="shared" ref="I3:I12" si="4">H3-0.047</f>
        <v>0.32500000000000001</v>
      </c>
      <c r="J3" s="5">
        <f t="shared" ref="J3:J12" si="5">(I3/0.4898)*2.6</f>
        <v>1.7251939567170276</v>
      </c>
      <c r="K3" s="4">
        <v>0.28499999999999998</v>
      </c>
      <c r="L3" s="4">
        <f t="shared" ref="L3:L12" si="6">K3-0.047</f>
        <v>0.23799999999999999</v>
      </c>
      <c r="M3" s="5">
        <f t="shared" ref="M3:M12" si="7">(L3/0.4898)*2.6</f>
        <v>1.2633728052266231</v>
      </c>
      <c r="N3" s="4">
        <v>0.28399999999999997</v>
      </c>
      <c r="O3" s="4">
        <f t="shared" ref="O3:O10" si="8">N3-0.047</f>
        <v>0.23699999999999999</v>
      </c>
      <c r="P3" s="5">
        <f t="shared" ref="P3:P10" si="9">(O3/0.4898)*2.6</f>
        <v>1.2580645161290323</v>
      </c>
      <c r="Q3" s="4">
        <v>0.57499999999999996</v>
      </c>
      <c r="R3" s="4">
        <v>4.8000000000000001E-2</v>
      </c>
    </row>
    <row r="4" spans="1:22" ht="15" x14ac:dyDescent="0.3">
      <c r="A4" s="4" t="s">
        <v>32</v>
      </c>
      <c r="B4" s="4">
        <v>0.22700000000000001</v>
      </c>
      <c r="C4" s="4">
        <f t="shared" si="0"/>
        <v>0.18</v>
      </c>
      <c r="D4" s="5">
        <f t="shared" si="1"/>
        <v>0.95549203756635359</v>
      </c>
      <c r="E4" s="4">
        <v>0.27700000000000002</v>
      </c>
      <c r="F4" s="4">
        <f t="shared" si="2"/>
        <v>0.23000000000000004</v>
      </c>
      <c r="G4" s="5">
        <f t="shared" si="3"/>
        <v>1.2209064924458966</v>
      </c>
      <c r="H4" s="4">
        <v>0.35499999999999998</v>
      </c>
      <c r="I4" s="4">
        <f t="shared" si="4"/>
        <v>0.308</v>
      </c>
      <c r="J4" s="5">
        <f t="shared" si="5"/>
        <v>1.634953042057983</v>
      </c>
      <c r="K4" s="4">
        <v>0.27500000000000002</v>
      </c>
      <c r="L4" s="4">
        <f t="shared" si="6"/>
        <v>0.22800000000000004</v>
      </c>
      <c r="M4" s="5">
        <f t="shared" si="7"/>
        <v>1.2102899142507146</v>
      </c>
      <c r="N4" s="4">
        <v>0.26800000000000002</v>
      </c>
      <c r="O4" s="4">
        <f t="shared" si="8"/>
        <v>0.22100000000000003</v>
      </c>
      <c r="P4" s="5">
        <f t="shared" si="9"/>
        <v>1.1731318905675787</v>
      </c>
      <c r="Q4" s="4">
        <v>0.5</v>
      </c>
      <c r="R4" s="4">
        <v>4.7E-2</v>
      </c>
    </row>
    <row r="5" spans="1:22" ht="15" x14ac:dyDescent="0.3">
      <c r="A5" s="4" t="s">
        <v>33</v>
      </c>
      <c r="B5" s="4">
        <v>0.309</v>
      </c>
      <c r="C5" s="4">
        <f t="shared" si="0"/>
        <v>0.26200000000000001</v>
      </c>
      <c r="D5" s="5">
        <f t="shared" si="1"/>
        <v>1.3907717435688036</v>
      </c>
      <c r="E5" s="4">
        <v>0.34</v>
      </c>
      <c r="F5" s="4">
        <f t="shared" si="2"/>
        <v>0.29300000000000004</v>
      </c>
      <c r="G5" s="5">
        <f t="shared" si="3"/>
        <v>1.5553287055941203</v>
      </c>
      <c r="H5" s="4">
        <v>0.34699999999999998</v>
      </c>
      <c r="I5" s="4">
        <f t="shared" si="4"/>
        <v>0.3</v>
      </c>
      <c r="J5" s="5">
        <f t="shared" si="5"/>
        <v>1.592486729277256</v>
      </c>
      <c r="K5" s="4">
        <v>0.224</v>
      </c>
      <c r="L5" s="4">
        <f t="shared" si="6"/>
        <v>0.17699999999999999</v>
      </c>
      <c r="M5" s="5">
        <f t="shared" si="7"/>
        <v>0.93956717027358094</v>
      </c>
      <c r="N5" s="4">
        <v>0.23200000000000001</v>
      </c>
      <c r="O5" s="4">
        <f t="shared" si="8"/>
        <v>0.185</v>
      </c>
      <c r="P5" s="5">
        <f t="shared" si="9"/>
        <v>0.98203348305430793</v>
      </c>
      <c r="Q5" s="4">
        <v>0.503</v>
      </c>
      <c r="R5" s="4">
        <v>4.7E-2</v>
      </c>
    </row>
    <row r="6" spans="1:22" ht="15" x14ac:dyDescent="0.3">
      <c r="A6" s="4" t="s">
        <v>34</v>
      </c>
      <c r="B6" s="4">
        <v>0.317</v>
      </c>
      <c r="C6" s="4">
        <f t="shared" si="0"/>
        <v>0.27</v>
      </c>
      <c r="D6" s="5">
        <f t="shared" si="1"/>
        <v>1.4332380563495306</v>
      </c>
      <c r="E6" s="4">
        <v>0.318</v>
      </c>
      <c r="F6" s="4">
        <f t="shared" si="2"/>
        <v>0.27100000000000002</v>
      </c>
      <c r="G6" s="5">
        <f t="shared" si="3"/>
        <v>1.4385463454471215</v>
      </c>
      <c r="H6" s="4">
        <v>0.33400000000000002</v>
      </c>
      <c r="I6" s="4">
        <f t="shared" si="4"/>
        <v>0.28700000000000003</v>
      </c>
      <c r="J6" s="5">
        <f t="shared" si="5"/>
        <v>1.523478971008575</v>
      </c>
      <c r="K6" s="4">
        <v>0.26200000000000001</v>
      </c>
      <c r="L6" s="4">
        <f t="shared" si="6"/>
        <v>0.21500000000000002</v>
      </c>
      <c r="M6" s="5">
        <f t="shared" si="7"/>
        <v>1.1412821559820336</v>
      </c>
      <c r="N6" s="4">
        <v>0.375</v>
      </c>
      <c r="O6" s="4">
        <f t="shared" si="8"/>
        <v>0.32800000000000001</v>
      </c>
      <c r="P6" s="5">
        <f t="shared" si="9"/>
        <v>1.7411188240097999</v>
      </c>
      <c r="Q6" s="4">
        <v>0.52900000000000003</v>
      </c>
      <c r="R6" s="4">
        <v>4.5999999999999999E-2</v>
      </c>
    </row>
    <row r="7" spans="1:22" ht="15" x14ac:dyDescent="0.3">
      <c r="A7" s="4" t="s">
        <v>35</v>
      </c>
      <c r="B7" s="4">
        <v>0.23499999999999999</v>
      </c>
      <c r="C7" s="4">
        <f t="shared" si="0"/>
        <v>0.188</v>
      </c>
      <c r="D7" s="5">
        <f t="shared" si="1"/>
        <v>0.99795835034708036</v>
      </c>
      <c r="E7" s="4">
        <v>0.94599999999999995</v>
      </c>
      <c r="F7" s="4">
        <f t="shared" si="2"/>
        <v>0.89899999999999991</v>
      </c>
      <c r="G7" s="5">
        <f t="shared" si="3"/>
        <v>4.7721518987341769</v>
      </c>
      <c r="H7" s="4">
        <v>0.40600000000000003</v>
      </c>
      <c r="I7" s="4">
        <f t="shared" si="4"/>
        <v>0.35900000000000004</v>
      </c>
      <c r="J7" s="5">
        <f t="shared" si="5"/>
        <v>1.9056757860351166</v>
      </c>
      <c r="K7" s="4">
        <v>0.47</v>
      </c>
      <c r="L7" s="4">
        <f t="shared" si="6"/>
        <v>0.42299999999999999</v>
      </c>
      <c r="M7" s="5">
        <f t="shared" si="7"/>
        <v>2.2454062882809307</v>
      </c>
      <c r="N7" s="4">
        <v>0.26600000000000001</v>
      </c>
      <c r="O7" s="4">
        <f t="shared" si="8"/>
        <v>0.21900000000000003</v>
      </c>
      <c r="P7" s="5">
        <f t="shared" si="9"/>
        <v>1.162515312372397</v>
      </c>
      <c r="R7" s="4" t="s">
        <v>36</v>
      </c>
    </row>
    <row r="8" spans="1:22" ht="15" x14ac:dyDescent="0.3">
      <c r="A8" s="4" t="s">
        <v>30</v>
      </c>
      <c r="B8" s="4">
        <v>0.29299999999999998</v>
      </c>
      <c r="C8" s="4">
        <f t="shared" si="0"/>
        <v>0.246</v>
      </c>
      <c r="D8" s="5">
        <f t="shared" si="1"/>
        <v>1.3058391180073499</v>
      </c>
      <c r="E8" s="4">
        <v>0.45300000000000001</v>
      </c>
      <c r="F8" s="4">
        <f t="shared" si="2"/>
        <v>0.40600000000000003</v>
      </c>
      <c r="G8" s="5">
        <f t="shared" si="3"/>
        <v>2.155165373621887</v>
      </c>
      <c r="H8" s="4">
        <v>0.40100000000000002</v>
      </c>
      <c r="I8" s="4">
        <f t="shared" si="4"/>
        <v>0.35400000000000004</v>
      </c>
      <c r="J8" s="5">
        <f t="shared" si="5"/>
        <v>1.8791343405471621</v>
      </c>
      <c r="K8" s="4">
        <v>0.28599999999999998</v>
      </c>
      <c r="L8" s="4">
        <f t="shared" si="6"/>
        <v>0.23899999999999999</v>
      </c>
      <c r="M8" s="5">
        <f t="shared" si="7"/>
        <v>1.2686810943242139</v>
      </c>
      <c r="N8" s="4">
        <v>0.29199999999999998</v>
      </c>
      <c r="O8" s="4">
        <f t="shared" si="8"/>
        <v>0.245</v>
      </c>
      <c r="P8" s="5">
        <f t="shared" si="9"/>
        <v>1.3005308289097592</v>
      </c>
      <c r="R8" s="4">
        <f>AVERAGE(R2:R6)</f>
        <v>4.7E-2</v>
      </c>
    </row>
    <row r="9" spans="1:22" ht="15" x14ac:dyDescent="0.3">
      <c r="A9" s="4" t="s">
        <v>31</v>
      </c>
      <c r="B9" s="4">
        <v>0.32100000000000001</v>
      </c>
      <c r="C9" s="4">
        <f t="shared" si="0"/>
        <v>0.27400000000000002</v>
      </c>
      <c r="D9" s="5">
        <f t="shared" si="1"/>
        <v>1.454471212739894</v>
      </c>
      <c r="E9" s="4">
        <v>0.35799999999999998</v>
      </c>
      <c r="F9" s="4">
        <f t="shared" si="2"/>
        <v>0.311</v>
      </c>
      <c r="G9" s="5">
        <f t="shared" si="3"/>
        <v>1.6508779093507555</v>
      </c>
      <c r="H9" s="4">
        <v>0.32600000000000001</v>
      </c>
      <c r="I9" s="4">
        <f t="shared" si="4"/>
        <v>0.27900000000000003</v>
      </c>
      <c r="J9" s="5">
        <f t="shared" si="5"/>
        <v>1.4810126582278482</v>
      </c>
      <c r="K9" s="4">
        <v>0.28000000000000003</v>
      </c>
      <c r="L9" s="4">
        <f t="shared" si="6"/>
        <v>0.23300000000000004</v>
      </c>
      <c r="M9" s="5">
        <f t="shared" si="7"/>
        <v>1.2368313597386691</v>
      </c>
      <c r="N9" s="4">
        <v>0.33300000000000002</v>
      </c>
      <c r="O9" s="4">
        <f t="shared" si="8"/>
        <v>0.28600000000000003</v>
      </c>
      <c r="P9" s="5">
        <f t="shared" si="9"/>
        <v>1.5181706819109844</v>
      </c>
      <c r="Q9" s="4" t="s">
        <v>37</v>
      </c>
    </row>
    <row r="10" spans="1:22" ht="15" x14ac:dyDescent="0.3">
      <c r="A10" s="4" t="s">
        <v>32</v>
      </c>
      <c r="B10" s="4">
        <v>0.24399999999999999</v>
      </c>
      <c r="C10" s="4">
        <f t="shared" si="0"/>
        <v>0.19700000000000001</v>
      </c>
      <c r="D10" s="5">
        <f t="shared" si="1"/>
        <v>1.0457329522253982</v>
      </c>
      <c r="E10" s="4">
        <v>0.40899999999999997</v>
      </c>
      <c r="F10" s="4">
        <f t="shared" si="2"/>
        <v>0.36199999999999999</v>
      </c>
      <c r="G10" s="5">
        <f t="shared" si="3"/>
        <v>1.9216006533278891</v>
      </c>
      <c r="H10" s="4">
        <v>0.29599999999999999</v>
      </c>
      <c r="I10" s="4">
        <f t="shared" si="4"/>
        <v>0.249</v>
      </c>
      <c r="J10" s="5">
        <f t="shared" si="5"/>
        <v>1.3217639853001226</v>
      </c>
      <c r="K10" s="4">
        <v>0.27600000000000002</v>
      </c>
      <c r="L10" s="4">
        <f t="shared" si="6"/>
        <v>0.22900000000000004</v>
      </c>
      <c r="M10" s="5">
        <f t="shared" si="7"/>
        <v>1.2155982033483057</v>
      </c>
      <c r="N10" s="4">
        <v>0.27800000000000002</v>
      </c>
      <c r="O10" s="4">
        <f t="shared" si="8"/>
        <v>0.23100000000000004</v>
      </c>
      <c r="P10" s="5">
        <f t="shared" si="9"/>
        <v>1.2262147815434874</v>
      </c>
      <c r="Q10" s="4">
        <f>AVERAGE(Q2:Q6)</f>
        <v>0.53679999999999994</v>
      </c>
    </row>
    <row r="11" spans="1:22" ht="15" x14ac:dyDescent="0.3">
      <c r="A11" s="4" t="s">
        <v>33</v>
      </c>
      <c r="B11" s="4">
        <v>0.28699999999999998</v>
      </c>
      <c r="C11" s="4">
        <f t="shared" si="0"/>
        <v>0.24</v>
      </c>
      <c r="D11" s="5">
        <f t="shared" si="1"/>
        <v>1.2739893834218048</v>
      </c>
      <c r="E11" s="4">
        <v>0.41399999999999998</v>
      </c>
      <c r="F11" s="4">
        <f t="shared" si="2"/>
        <v>0.36699999999999999</v>
      </c>
      <c r="G11" s="5">
        <f t="shared" si="3"/>
        <v>1.9481420988158431</v>
      </c>
      <c r="H11" s="4">
        <v>0.35699999999999998</v>
      </c>
      <c r="I11" s="4">
        <f t="shared" si="4"/>
        <v>0.31</v>
      </c>
      <c r="J11" s="5">
        <f t="shared" si="5"/>
        <v>1.6455696202531644</v>
      </c>
      <c r="K11" s="4">
        <v>0.316</v>
      </c>
      <c r="L11" s="4">
        <f t="shared" si="6"/>
        <v>0.26900000000000002</v>
      </c>
      <c r="M11" s="5">
        <f t="shared" si="7"/>
        <v>1.4279297672519395</v>
      </c>
      <c r="Q11" s="4" t="s">
        <v>24</v>
      </c>
      <c r="V11" s="5"/>
    </row>
    <row r="12" spans="1:22" ht="15" x14ac:dyDescent="0.3">
      <c r="A12" s="4" t="s">
        <v>34</v>
      </c>
      <c r="B12" s="4">
        <v>0.29799999999999999</v>
      </c>
      <c r="C12" s="4">
        <f t="shared" si="0"/>
        <v>0.251</v>
      </c>
      <c r="D12" s="5">
        <f t="shared" si="1"/>
        <v>1.3323805634953041</v>
      </c>
      <c r="H12" s="4">
        <v>0.36199999999999999</v>
      </c>
      <c r="I12" s="4">
        <f t="shared" si="4"/>
        <v>0.315</v>
      </c>
      <c r="J12" s="5">
        <f t="shared" si="5"/>
        <v>1.6721110657411189</v>
      </c>
      <c r="K12" s="4">
        <v>0.38300000000000001</v>
      </c>
      <c r="L12" s="4">
        <f t="shared" si="6"/>
        <v>0.33600000000000002</v>
      </c>
      <c r="M12" s="5">
        <f t="shared" si="7"/>
        <v>1.7835851367905271</v>
      </c>
      <c r="Q12" s="4">
        <f>Q10-0.047</f>
        <v>0.48979999999999996</v>
      </c>
    </row>
    <row r="13" spans="1:22" ht="15" x14ac:dyDescent="0.3">
      <c r="A13" s="4" t="s">
        <v>35</v>
      </c>
      <c r="B13" s="4">
        <v>0.254</v>
      </c>
      <c r="C13" s="4">
        <f t="shared" si="0"/>
        <v>0.20700000000000002</v>
      </c>
      <c r="D13" s="5">
        <f t="shared" si="1"/>
        <v>1.0988158432013069</v>
      </c>
    </row>
    <row r="15" spans="1:22" ht="15" x14ac:dyDescent="0.3">
      <c r="D15" s="7">
        <f>AVERAGE(D2:D4,D7:D8,D10:D11,D13)</f>
        <v>1.1253572886892609</v>
      </c>
      <c r="E15" s="6"/>
      <c r="F15" s="6"/>
      <c r="G15" s="6">
        <f>AVERAGE(G2:G3,G5:G6,G8:G11)</f>
        <v>1.7709779501837486</v>
      </c>
      <c r="H15" s="6"/>
      <c r="I15" s="6"/>
      <c r="J15" s="6">
        <f>AVERAGE(J3:J6,J9:J12)</f>
        <v>1.5745712535728869</v>
      </c>
      <c r="K15" s="6"/>
      <c r="L15" s="6"/>
      <c r="M15" s="6">
        <f>AVERAGE(M3:M6,M8:M11)</f>
        <v>1.2129440587995099</v>
      </c>
      <c r="N15" s="6"/>
      <c r="O15" s="6"/>
      <c r="P15" s="6">
        <f>AVERAGE(P2:P5,P7:P10)</f>
        <v>1.251429154757044</v>
      </c>
      <c r="Q15" s="6"/>
    </row>
    <row r="16" spans="1:22" x14ac:dyDescent="0.3">
      <c r="D16" s="6">
        <f>STDEV(D2:D4,D7:D8,D10:D11,D13)</f>
        <v>0.12590512341754262</v>
      </c>
      <c r="E16" s="6"/>
      <c r="F16" s="6"/>
      <c r="G16" s="6">
        <f>STDEV(G2:G3,G5:G6,G8:G11)</f>
        <v>0.28793580355548104</v>
      </c>
      <c r="H16" s="6"/>
      <c r="I16" s="6"/>
      <c r="J16" s="6">
        <f>STDEV(J3:J6,J9:J12)</f>
        <v>0.1289983684138277</v>
      </c>
      <c r="K16" s="6"/>
      <c r="L16" s="6"/>
      <c r="M16" s="6">
        <f>STDEV(M3:M6,M8:M11)</f>
        <v>0.13748951858355191</v>
      </c>
      <c r="N16" s="6"/>
      <c r="O16" s="6"/>
      <c r="P16" s="6">
        <f>STDEV(P2:P5,P7:P10)</f>
        <v>0.16047622311028373</v>
      </c>
      <c r="Q16" s="6"/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646B4-D0D8-43E5-AD45-01D156967B35}">
  <dimension ref="A1:T18"/>
  <sheetViews>
    <sheetView workbookViewId="0">
      <selection activeCell="H17" sqref="H17"/>
    </sheetView>
  </sheetViews>
  <sheetFormatPr defaultRowHeight="14" x14ac:dyDescent="0.3"/>
  <cols>
    <col min="1" max="16384" width="8.6640625" style="4"/>
  </cols>
  <sheetData>
    <row r="1" spans="1:20" ht="15" x14ac:dyDescent="0.3">
      <c r="B1" s="8" t="s">
        <v>74</v>
      </c>
      <c r="C1" s="8" t="s">
        <v>110</v>
      </c>
      <c r="D1" s="8" t="s">
        <v>111</v>
      </c>
      <c r="E1" s="4" t="s">
        <v>75</v>
      </c>
      <c r="F1" s="4" t="s">
        <v>87</v>
      </c>
      <c r="G1" s="4" t="s">
        <v>88</v>
      </c>
      <c r="H1" s="4" t="s">
        <v>27</v>
      </c>
      <c r="I1" s="4" t="s">
        <v>14</v>
      </c>
      <c r="J1" s="5" t="s">
        <v>15</v>
      </c>
      <c r="K1" s="4" t="s">
        <v>28</v>
      </c>
      <c r="L1" s="4" t="s">
        <v>16</v>
      </c>
      <c r="M1" s="5" t="s">
        <v>17</v>
      </c>
      <c r="N1" s="4" t="s">
        <v>29</v>
      </c>
      <c r="O1" s="4" t="s">
        <v>18</v>
      </c>
      <c r="P1" s="5" t="s">
        <v>19</v>
      </c>
      <c r="Q1" s="4" t="s">
        <v>21</v>
      </c>
      <c r="R1" s="4" t="s">
        <v>24</v>
      </c>
      <c r="S1" s="4" t="s">
        <v>20</v>
      </c>
      <c r="T1" s="4" t="s">
        <v>38</v>
      </c>
    </row>
    <row r="2" spans="1:20" ht="15" x14ac:dyDescent="0.3">
      <c r="A2" s="4" t="s">
        <v>31</v>
      </c>
      <c r="B2" s="4">
        <v>0.70099999999999996</v>
      </c>
      <c r="C2" s="4">
        <f>B2-0.04025</f>
        <v>0.66074999999999995</v>
      </c>
      <c r="D2" s="5">
        <f>(C2/0.499417)*2.6</f>
        <v>3.4399109361515525</v>
      </c>
      <c r="E2" s="4">
        <v>1.167</v>
      </c>
      <c r="F2" s="4">
        <f>E2-0.04025</f>
        <v>1.1267500000000001</v>
      </c>
      <c r="G2" s="5">
        <f>(F2/0.499417)*2.6</f>
        <v>5.8659396856734967</v>
      </c>
      <c r="H2" s="4">
        <v>1.0449999999999999</v>
      </c>
      <c r="I2" s="4">
        <f>H2-0.04025</f>
        <v>1.00475</v>
      </c>
      <c r="J2" s="5">
        <f>(I2/0.499417)*2.6</f>
        <v>5.230799111764318</v>
      </c>
      <c r="K2" s="4">
        <v>0.72899999999999998</v>
      </c>
      <c r="L2" s="4">
        <f>K2-0.04025</f>
        <v>0.68874999999999997</v>
      </c>
      <c r="M2" s="5">
        <f>(L2/0.499417)*2.6</f>
        <v>3.5856809039339868</v>
      </c>
      <c r="N2" s="4">
        <v>0.60499999999999998</v>
      </c>
      <c r="O2" s="4">
        <f>N2-0.04025</f>
        <v>0.56474999999999997</v>
      </c>
      <c r="P2" s="5">
        <f>(O2/0.499417)*2.6</f>
        <v>2.9401281894689206</v>
      </c>
      <c r="Q2" s="4">
        <v>0.55500000000000005</v>
      </c>
      <c r="R2" s="4">
        <f>Q8-0.04025</f>
        <v>0.49941666666666673</v>
      </c>
      <c r="S2" s="4">
        <v>0.04</v>
      </c>
      <c r="T2" s="4" t="s">
        <v>39</v>
      </c>
    </row>
    <row r="3" spans="1:20" ht="15" x14ac:dyDescent="0.3">
      <c r="A3" s="4" t="s">
        <v>31</v>
      </c>
      <c r="B3" s="4">
        <v>0.874</v>
      </c>
      <c r="C3" s="4">
        <f>B3-0.04025</f>
        <v>0.83374999999999999</v>
      </c>
      <c r="D3" s="5">
        <f t="shared" ref="D3:D13" si="0">(C3/0.499417)*2.6</f>
        <v>4.3405610942358797</v>
      </c>
      <c r="E3" s="4">
        <v>1.109</v>
      </c>
      <c r="F3" s="4">
        <f t="shared" ref="F3:F11" si="1">E3-0.04025</f>
        <v>1.0687500000000001</v>
      </c>
      <c r="G3" s="5">
        <f t="shared" ref="G3:G11" si="2">(F3/0.499417)*2.6</f>
        <v>5.563987609552739</v>
      </c>
      <c r="H3" s="4">
        <v>0.97399999999999998</v>
      </c>
      <c r="I3" s="4">
        <f t="shared" ref="I3:I12" si="3">H3-0.04025</f>
        <v>0.93374999999999997</v>
      </c>
      <c r="J3" s="5">
        <f t="shared" ref="J3:J12" si="4">(I3/0.499417)*2.6</f>
        <v>4.8611681220302874</v>
      </c>
      <c r="K3" s="4">
        <v>0.77800000000000002</v>
      </c>
      <c r="L3" s="4">
        <f t="shared" ref="L3:L12" si="5">K3-0.04025</f>
        <v>0.73775000000000002</v>
      </c>
      <c r="M3" s="5">
        <f t="shared" ref="M3:M12" si="6">(L3/0.499417)*2.6</f>
        <v>3.8407783475532473</v>
      </c>
      <c r="N3" s="4">
        <v>0.63600000000000001</v>
      </c>
      <c r="O3" s="4">
        <f t="shared" ref="O3:O11" si="7">N3-0.04025</f>
        <v>0.59575</v>
      </c>
      <c r="P3" s="5">
        <f t="shared" ref="P3:P11" si="8">(O3/0.499417)*2.6</f>
        <v>3.1015163680851874</v>
      </c>
      <c r="Q3" s="4">
        <v>0.55300000000000005</v>
      </c>
      <c r="S3" s="4">
        <v>4.1000000000000002E-2</v>
      </c>
    </row>
    <row r="4" spans="1:20" ht="15" x14ac:dyDescent="0.3">
      <c r="A4" s="4" t="s">
        <v>32</v>
      </c>
      <c r="B4" s="4">
        <v>0.70499999999999996</v>
      </c>
      <c r="C4" s="4">
        <f t="shared" ref="C4:C13" si="9">B4-0.04025</f>
        <v>0.66474999999999995</v>
      </c>
      <c r="D4" s="5">
        <f t="shared" si="0"/>
        <v>3.4607352172633288</v>
      </c>
      <c r="E4" s="4">
        <v>0.96299999999999997</v>
      </c>
      <c r="F4" s="4">
        <f t="shared" si="1"/>
        <v>0.92274999999999996</v>
      </c>
      <c r="G4" s="5">
        <f t="shared" si="2"/>
        <v>4.8039013489729028</v>
      </c>
      <c r="H4" s="4">
        <v>1.06</v>
      </c>
      <c r="I4" s="4">
        <f t="shared" si="3"/>
        <v>1.0197500000000002</v>
      </c>
      <c r="J4" s="5">
        <f t="shared" si="4"/>
        <v>5.3088901659334793</v>
      </c>
      <c r="K4" s="4">
        <v>0.77100000000000002</v>
      </c>
      <c r="L4" s="4">
        <f t="shared" si="5"/>
        <v>0.73075000000000001</v>
      </c>
      <c r="M4" s="5">
        <f t="shared" si="6"/>
        <v>3.804335855607639</v>
      </c>
      <c r="N4" s="4">
        <v>0.74299999999999999</v>
      </c>
      <c r="O4" s="4">
        <f t="shared" si="7"/>
        <v>0.70274999999999999</v>
      </c>
      <c r="P4" s="5">
        <f t="shared" si="8"/>
        <v>3.6585658878252039</v>
      </c>
      <c r="Q4" s="4">
        <v>0.46899999999999997</v>
      </c>
      <c r="S4" s="4">
        <v>0.04</v>
      </c>
    </row>
    <row r="5" spans="1:20" ht="15" x14ac:dyDescent="0.3">
      <c r="A5" s="4" t="s">
        <v>32</v>
      </c>
      <c r="B5" s="4">
        <v>0.69</v>
      </c>
      <c r="C5" s="4">
        <f t="shared" si="9"/>
        <v>0.64974999999999994</v>
      </c>
      <c r="D5" s="5">
        <f t="shared" si="0"/>
        <v>3.3826441630941675</v>
      </c>
      <c r="E5" s="4">
        <v>0.85099999999999998</v>
      </c>
      <c r="F5" s="4">
        <f t="shared" si="1"/>
        <v>0.81074999999999997</v>
      </c>
      <c r="G5" s="5">
        <f t="shared" si="2"/>
        <v>4.220821477843165</v>
      </c>
      <c r="H5" s="4">
        <v>1.0509999999999999</v>
      </c>
      <c r="I5" s="4">
        <f t="shared" si="3"/>
        <v>1.01075</v>
      </c>
      <c r="J5" s="5">
        <f t="shared" si="4"/>
        <v>5.2620355334319822</v>
      </c>
      <c r="K5" s="4">
        <v>0.56499999999999995</v>
      </c>
      <c r="L5" s="4">
        <f t="shared" si="5"/>
        <v>0.52474999999999994</v>
      </c>
      <c r="M5" s="5">
        <f t="shared" si="6"/>
        <v>2.7318853783511572</v>
      </c>
      <c r="N5" s="4">
        <v>0.77400000000000002</v>
      </c>
      <c r="O5" s="4">
        <f t="shared" si="7"/>
        <v>0.73375000000000001</v>
      </c>
      <c r="P5" s="5">
        <f t="shared" si="8"/>
        <v>3.8199540664414711</v>
      </c>
      <c r="Q5" s="4">
        <v>0.51100000000000001</v>
      </c>
      <c r="S5" s="4">
        <v>0.04</v>
      </c>
    </row>
    <row r="6" spans="1:20" ht="15" x14ac:dyDescent="0.3">
      <c r="A6" s="4" t="s">
        <v>33</v>
      </c>
      <c r="B6" s="4">
        <v>0.69699999999999995</v>
      </c>
      <c r="C6" s="4">
        <f t="shared" si="9"/>
        <v>0.65674999999999994</v>
      </c>
      <c r="D6" s="5">
        <f t="shared" si="0"/>
        <v>3.4190866550397763</v>
      </c>
      <c r="E6" s="4">
        <v>1.069</v>
      </c>
      <c r="F6" s="4">
        <f t="shared" si="1"/>
        <v>1.0287500000000001</v>
      </c>
      <c r="G6" s="5">
        <f t="shared" si="2"/>
        <v>5.3557447984349764</v>
      </c>
      <c r="H6" s="4">
        <v>0.96299999999999997</v>
      </c>
      <c r="I6" s="4">
        <f t="shared" si="3"/>
        <v>0.92274999999999996</v>
      </c>
      <c r="J6" s="5">
        <f t="shared" si="4"/>
        <v>4.8039013489729028</v>
      </c>
      <c r="K6" s="4">
        <v>0.80400000000000005</v>
      </c>
      <c r="L6" s="4">
        <f t="shared" si="5"/>
        <v>0.76375000000000004</v>
      </c>
      <c r="M6" s="5">
        <f t="shared" si="6"/>
        <v>3.9761361747797936</v>
      </c>
      <c r="N6" s="4">
        <v>0.64500000000000002</v>
      </c>
      <c r="O6" s="4">
        <f t="shared" si="7"/>
        <v>0.60475000000000001</v>
      </c>
      <c r="P6" s="5">
        <f t="shared" si="8"/>
        <v>3.1483710005866845</v>
      </c>
      <c r="Q6" s="4">
        <v>0.47499999999999998</v>
      </c>
      <c r="S6" s="4">
        <v>9.9000000000000005E-2</v>
      </c>
    </row>
    <row r="7" spans="1:20" ht="15" x14ac:dyDescent="0.3">
      <c r="A7" s="4" t="s">
        <v>33</v>
      </c>
      <c r="B7" s="4">
        <v>0.56299999999999994</v>
      </c>
      <c r="C7" s="4">
        <f t="shared" si="9"/>
        <v>0.52274999999999994</v>
      </c>
      <c r="D7" s="5">
        <f t="shared" si="0"/>
        <v>2.7214732377952688</v>
      </c>
      <c r="E7" s="4">
        <v>1.06</v>
      </c>
      <c r="F7" s="4">
        <f t="shared" si="1"/>
        <v>1.0197500000000002</v>
      </c>
      <c r="G7" s="5">
        <f t="shared" si="2"/>
        <v>5.3088901659334793</v>
      </c>
      <c r="H7" s="4">
        <v>1.216</v>
      </c>
      <c r="I7" s="4">
        <f t="shared" si="3"/>
        <v>1.1757500000000001</v>
      </c>
      <c r="J7" s="5">
        <f t="shared" si="4"/>
        <v>6.1210371292927555</v>
      </c>
      <c r="K7" s="4">
        <v>1.3320000000000001</v>
      </c>
      <c r="L7" s="4">
        <f t="shared" si="5"/>
        <v>1.2917500000000002</v>
      </c>
      <c r="M7" s="5">
        <f t="shared" si="6"/>
        <v>6.72494128153427</v>
      </c>
      <c r="N7" s="4">
        <v>0.81</v>
      </c>
      <c r="O7" s="4">
        <f t="shared" si="7"/>
        <v>0.76975000000000005</v>
      </c>
      <c r="P7" s="5">
        <f t="shared" si="8"/>
        <v>4.0073725964474587</v>
      </c>
      <c r="Q7" s="4" t="s">
        <v>3</v>
      </c>
    </row>
    <row r="8" spans="1:20" ht="15" x14ac:dyDescent="0.3">
      <c r="A8" s="4" t="s">
        <v>34</v>
      </c>
      <c r="B8" s="4">
        <v>0.88400000000000001</v>
      </c>
      <c r="C8" s="4">
        <f t="shared" si="9"/>
        <v>0.84375</v>
      </c>
      <c r="D8" s="5">
        <f t="shared" si="0"/>
        <v>4.3926217970153205</v>
      </c>
      <c r="E8" s="4">
        <v>1.016</v>
      </c>
      <c r="F8" s="4">
        <f t="shared" si="1"/>
        <v>0.97575000000000001</v>
      </c>
      <c r="G8" s="5">
        <f t="shared" si="2"/>
        <v>5.0798230737039392</v>
      </c>
      <c r="H8" s="4">
        <v>1.175</v>
      </c>
      <c r="I8" s="4">
        <f t="shared" si="3"/>
        <v>1.1347500000000001</v>
      </c>
      <c r="J8" s="5">
        <f t="shared" si="4"/>
        <v>5.9075882478970492</v>
      </c>
      <c r="K8" s="4">
        <v>0.88600000000000001</v>
      </c>
      <c r="L8" s="4">
        <f t="shared" si="5"/>
        <v>0.84575</v>
      </c>
      <c r="M8" s="5">
        <f t="shared" si="6"/>
        <v>4.403033937571208</v>
      </c>
      <c r="N8" s="4">
        <v>0.61399999999999999</v>
      </c>
      <c r="O8" s="4">
        <f t="shared" si="7"/>
        <v>0.57374999999999998</v>
      </c>
      <c r="P8" s="5">
        <f t="shared" si="8"/>
        <v>2.9869828219704173</v>
      </c>
      <c r="Q8" s="4">
        <f>AVERAGE(Q2,Q3,Q5)</f>
        <v>0.53966666666666674</v>
      </c>
      <c r="S8" s="4">
        <f>AVERAGE(S2,S3,S4,S5)</f>
        <v>4.0250000000000001E-2</v>
      </c>
    </row>
    <row r="9" spans="1:20" ht="15" x14ac:dyDescent="0.3">
      <c r="A9" s="4" t="s">
        <v>34</v>
      </c>
      <c r="B9" s="4">
        <v>0.54300000000000004</v>
      </c>
      <c r="C9" s="4">
        <f t="shared" si="9"/>
        <v>0.50275000000000003</v>
      </c>
      <c r="D9" s="5">
        <f t="shared" si="0"/>
        <v>2.6173518322363876</v>
      </c>
      <c r="E9" s="4">
        <v>0.92600000000000005</v>
      </c>
      <c r="F9" s="4">
        <f t="shared" si="1"/>
        <v>0.88575000000000004</v>
      </c>
      <c r="G9" s="5">
        <f t="shared" si="2"/>
        <v>4.6112767486889714</v>
      </c>
      <c r="H9" s="4">
        <v>0.86199999999999999</v>
      </c>
      <c r="I9" s="4">
        <f t="shared" si="3"/>
        <v>0.82174999999999998</v>
      </c>
      <c r="J9" s="5">
        <f t="shared" si="4"/>
        <v>4.2780882509005504</v>
      </c>
      <c r="K9" s="4">
        <v>0.60599999999999998</v>
      </c>
      <c r="L9" s="4">
        <f t="shared" si="5"/>
        <v>0.56574999999999998</v>
      </c>
      <c r="M9" s="5">
        <f t="shared" si="6"/>
        <v>2.9453342597468644</v>
      </c>
      <c r="N9" s="4">
        <v>0.65400000000000003</v>
      </c>
      <c r="O9" s="4">
        <f t="shared" si="7"/>
        <v>0.61375000000000002</v>
      </c>
      <c r="P9" s="5">
        <f t="shared" si="8"/>
        <v>3.1952256330881808</v>
      </c>
    </row>
    <row r="10" spans="1:20" ht="15" x14ac:dyDescent="0.3">
      <c r="A10" s="4" t="s">
        <v>35</v>
      </c>
      <c r="B10" s="4">
        <v>0.79</v>
      </c>
      <c r="C10" s="4">
        <f t="shared" si="9"/>
        <v>0.74975000000000003</v>
      </c>
      <c r="D10" s="5">
        <f t="shared" si="0"/>
        <v>3.9032511908885765</v>
      </c>
      <c r="E10" s="4">
        <v>1.155</v>
      </c>
      <c r="F10" s="4">
        <f t="shared" si="1"/>
        <v>1.1147500000000001</v>
      </c>
      <c r="G10" s="5">
        <f t="shared" si="2"/>
        <v>5.8034668423381675</v>
      </c>
      <c r="H10" s="4">
        <v>0.79</v>
      </c>
      <c r="I10" s="4">
        <f t="shared" si="3"/>
        <v>0.74975000000000003</v>
      </c>
      <c r="J10" s="5">
        <f t="shared" si="4"/>
        <v>3.9032511908885765</v>
      </c>
      <c r="K10" s="4">
        <v>0.71699999999999997</v>
      </c>
      <c r="L10" s="4">
        <f t="shared" si="5"/>
        <v>0.67674999999999996</v>
      </c>
      <c r="M10" s="5">
        <f t="shared" si="6"/>
        <v>3.523208060598658</v>
      </c>
      <c r="N10" s="4">
        <v>0.70499999999999996</v>
      </c>
      <c r="O10" s="4">
        <f t="shared" si="7"/>
        <v>0.66474999999999995</v>
      </c>
      <c r="P10" s="5">
        <f t="shared" si="8"/>
        <v>3.4607352172633288</v>
      </c>
    </row>
    <row r="11" spans="1:20" ht="15" x14ac:dyDescent="0.3">
      <c r="A11" s="4" t="s">
        <v>35</v>
      </c>
      <c r="B11" s="4">
        <v>0.93</v>
      </c>
      <c r="C11" s="4">
        <f t="shared" si="9"/>
        <v>0.88975000000000004</v>
      </c>
      <c r="D11" s="5">
        <f t="shared" si="0"/>
        <v>4.6321010298007481</v>
      </c>
      <c r="E11" s="4">
        <v>1.155</v>
      </c>
      <c r="F11" s="4">
        <f t="shared" si="1"/>
        <v>1.1147500000000001</v>
      </c>
      <c r="G11" s="5">
        <f t="shared" si="2"/>
        <v>5.8034668423381675</v>
      </c>
      <c r="H11" s="4">
        <v>0.71599999999999997</v>
      </c>
      <c r="I11" s="4">
        <f t="shared" si="3"/>
        <v>0.67574999999999996</v>
      </c>
      <c r="J11" s="5">
        <f t="shared" si="4"/>
        <v>3.5180019903207138</v>
      </c>
      <c r="K11" s="4">
        <v>0.82899999999999996</v>
      </c>
      <c r="L11" s="4">
        <f t="shared" si="5"/>
        <v>0.78874999999999995</v>
      </c>
      <c r="M11" s="5">
        <f t="shared" si="6"/>
        <v>4.1062879317283949</v>
      </c>
      <c r="N11" s="4">
        <v>1.286</v>
      </c>
      <c r="O11" s="4">
        <f t="shared" si="7"/>
        <v>1.2457500000000001</v>
      </c>
      <c r="P11" s="5">
        <f t="shared" si="8"/>
        <v>6.4854620487488415</v>
      </c>
    </row>
    <row r="12" spans="1:20" ht="15" x14ac:dyDescent="0.3">
      <c r="A12" s="4" t="s">
        <v>30</v>
      </c>
      <c r="B12" s="4">
        <v>0.502</v>
      </c>
      <c r="C12" s="4">
        <f t="shared" si="9"/>
        <v>0.46174999999999999</v>
      </c>
      <c r="D12" s="5">
        <f t="shared" si="0"/>
        <v>2.40390295084068</v>
      </c>
      <c r="H12" s="4">
        <v>0.96099999999999997</v>
      </c>
      <c r="I12" s="4">
        <f t="shared" si="3"/>
        <v>0.92074999999999996</v>
      </c>
      <c r="J12" s="5">
        <f t="shared" si="4"/>
        <v>4.7934892084170144</v>
      </c>
      <c r="K12" s="4">
        <v>0.86399999999999999</v>
      </c>
      <c r="L12" s="4">
        <f t="shared" si="5"/>
        <v>0.82374999999999998</v>
      </c>
      <c r="M12" s="5">
        <f t="shared" si="6"/>
        <v>4.2885003914564379</v>
      </c>
    </row>
    <row r="13" spans="1:20" ht="15" x14ac:dyDescent="0.3">
      <c r="A13" s="4" t="s">
        <v>30</v>
      </c>
      <c r="B13" s="4">
        <v>0.501</v>
      </c>
      <c r="C13" s="4">
        <f t="shared" si="9"/>
        <v>0.46074999999999999</v>
      </c>
      <c r="D13" s="5">
        <f t="shared" si="0"/>
        <v>2.3986968805627362</v>
      </c>
    </row>
    <row r="16" spans="1:20" x14ac:dyDescent="0.3">
      <c r="C16" s="6"/>
      <c r="D16" s="6">
        <f>AVERAGE(D2,D4:D7,D9,D12:D13)</f>
        <v>2.9804752341229874</v>
      </c>
      <c r="E16" s="6"/>
      <c r="F16" s="6"/>
      <c r="G16" s="6">
        <f>AVERAGE(G2,G3,G4,G6,G7,G8,G10,G11)</f>
        <v>5.4481525458684832</v>
      </c>
      <c r="H16" s="6"/>
      <c r="I16" s="6"/>
      <c r="J16" s="6">
        <f>AVERAGE(J2:J5,J7:J9,J12)</f>
        <v>5.2203869712084296</v>
      </c>
      <c r="K16" s="6"/>
      <c r="L16" s="6"/>
      <c r="M16" s="6">
        <f>AVERAGE(M2:M4,M6,M9:M12)</f>
        <v>3.758782740675628</v>
      </c>
      <c r="N16" s="6"/>
      <c r="O16" s="6"/>
      <c r="P16" s="6">
        <f>AVERAGE(P2,P3,P4,P5,P6,P8,P9,P10)</f>
        <v>3.288934898091175</v>
      </c>
      <c r="Q16" s="6"/>
      <c r="R16" s="6"/>
      <c r="S16" s="6"/>
    </row>
    <row r="17" spans="3:19" x14ac:dyDescent="0.3">
      <c r="C17" s="6"/>
      <c r="D17" s="6">
        <f>STDEV(D2,D4:D7,D9,D12:D13)</f>
        <v>0.48780747538830388</v>
      </c>
      <c r="E17" s="6"/>
      <c r="F17" s="6"/>
      <c r="G17" s="6">
        <f>STDEV(G2:G4,G6:G8,G10:G11)</f>
        <v>0.38156066017157531</v>
      </c>
      <c r="H17" s="6"/>
      <c r="I17" s="6"/>
      <c r="J17" s="6">
        <f>STDEV(J2:J5,J7:J9,J12)</f>
        <v>0.59669313632931864</v>
      </c>
      <c r="K17" s="6"/>
      <c r="L17" s="6"/>
      <c r="M17" s="6">
        <f>STDEV(M2:M4,M6,M9:M12)</f>
        <v>0.41482520163893299</v>
      </c>
      <c r="N17" s="6"/>
      <c r="O17" s="6"/>
      <c r="P17" s="6">
        <f>STDEV(P2:P6,P8:P10)</f>
        <v>0.32174308576587657</v>
      </c>
      <c r="Q17" s="6"/>
      <c r="R17" s="6"/>
      <c r="S17" s="6"/>
    </row>
    <row r="18" spans="3:19" x14ac:dyDescent="0.3"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24C82-4156-48CE-B9E5-BBF5E4F17363}">
  <dimension ref="A1:Q165"/>
  <sheetViews>
    <sheetView topLeftCell="A157" workbookViewId="0">
      <selection activeCell="Q14" sqref="Q14"/>
    </sheetView>
  </sheetViews>
  <sheetFormatPr defaultRowHeight="14" x14ac:dyDescent="0.3"/>
  <cols>
    <col min="1" max="1" width="14.25" customWidth="1"/>
    <col min="257" max="257" width="14.25" customWidth="1"/>
    <col min="513" max="513" width="14.25" customWidth="1"/>
    <col min="769" max="769" width="14.25" customWidth="1"/>
    <col min="1025" max="1025" width="14.25" customWidth="1"/>
    <col min="1281" max="1281" width="14.25" customWidth="1"/>
    <col min="1537" max="1537" width="14.25" customWidth="1"/>
    <col min="1793" max="1793" width="14.25" customWidth="1"/>
    <col min="2049" max="2049" width="14.25" customWidth="1"/>
    <col min="2305" max="2305" width="14.25" customWidth="1"/>
    <col min="2561" max="2561" width="14.25" customWidth="1"/>
    <col min="2817" max="2817" width="14.25" customWidth="1"/>
    <col min="3073" max="3073" width="14.25" customWidth="1"/>
    <col min="3329" max="3329" width="14.25" customWidth="1"/>
    <col min="3585" max="3585" width="14.25" customWidth="1"/>
    <col min="3841" max="3841" width="14.25" customWidth="1"/>
    <col min="4097" max="4097" width="14.25" customWidth="1"/>
    <col min="4353" max="4353" width="14.25" customWidth="1"/>
    <col min="4609" max="4609" width="14.25" customWidth="1"/>
    <col min="4865" max="4865" width="14.25" customWidth="1"/>
    <col min="5121" max="5121" width="14.25" customWidth="1"/>
    <col min="5377" max="5377" width="14.25" customWidth="1"/>
    <col min="5633" max="5633" width="14.25" customWidth="1"/>
    <col min="5889" max="5889" width="14.25" customWidth="1"/>
    <col min="6145" max="6145" width="14.25" customWidth="1"/>
    <col min="6401" max="6401" width="14.25" customWidth="1"/>
    <col min="6657" max="6657" width="14.25" customWidth="1"/>
    <col min="6913" max="6913" width="14.25" customWidth="1"/>
    <col min="7169" max="7169" width="14.25" customWidth="1"/>
    <col min="7425" max="7425" width="14.25" customWidth="1"/>
    <col min="7681" max="7681" width="14.25" customWidth="1"/>
    <col min="7937" max="7937" width="14.25" customWidth="1"/>
    <col min="8193" max="8193" width="14.25" customWidth="1"/>
    <col min="8449" max="8449" width="14.25" customWidth="1"/>
    <col min="8705" max="8705" width="14.25" customWidth="1"/>
    <col min="8961" max="8961" width="14.25" customWidth="1"/>
    <col min="9217" max="9217" width="14.25" customWidth="1"/>
    <col min="9473" max="9473" width="14.25" customWidth="1"/>
    <col min="9729" max="9729" width="14.25" customWidth="1"/>
    <col min="9985" max="9985" width="14.25" customWidth="1"/>
    <col min="10241" max="10241" width="14.25" customWidth="1"/>
    <col min="10497" max="10497" width="14.25" customWidth="1"/>
    <col min="10753" max="10753" width="14.25" customWidth="1"/>
    <col min="11009" max="11009" width="14.25" customWidth="1"/>
    <col min="11265" max="11265" width="14.25" customWidth="1"/>
    <col min="11521" max="11521" width="14.25" customWidth="1"/>
    <col min="11777" max="11777" width="14.25" customWidth="1"/>
    <col min="12033" max="12033" width="14.25" customWidth="1"/>
    <col min="12289" max="12289" width="14.25" customWidth="1"/>
    <col min="12545" max="12545" width="14.25" customWidth="1"/>
    <col min="12801" max="12801" width="14.25" customWidth="1"/>
    <col min="13057" max="13057" width="14.25" customWidth="1"/>
    <col min="13313" max="13313" width="14.25" customWidth="1"/>
    <col min="13569" max="13569" width="14.25" customWidth="1"/>
    <col min="13825" max="13825" width="14.25" customWidth="1"/>
    <col min="14081" max="14081" width="14.25" customWidth="1"/>
    <col min="14337" max="14337" width="14.25" customWidth="1"/>
    <col min="14593" max="14593" width="14.25" customWidth="1"/>
    <col min="14849" max="14849" width="14.25" customWidth="1"/>
    <col min="15105" max="15105" width="14.25" customWidth="1"/>
    <col min="15361" max="15361" width="14.25" customWidth="1"/>
    <col min="15617" max="15617" width="14.25" customWidth="1"/>
    <col min="15873" max="15873" width="14.25" customWidth="1"/>
    <col min="16129" max="16129" width="14.25" customWidth="1"/>
  </cols>
  <sheetData>
    <row r="1" spans="1:17" x14ac:dyDescent="0.3">
      <c r="A1" s="4" t="s">
        <v>94</v>
      </c>
      <c r="B1" s="4"/>
      <c r="C1" s="4"/>
      <c r="D1" s="4" t="s">
        <v>41</v>
      </c>
      <c r="E1" s="4"/>
      <c r="F1" s="4"/>
      <c r="G1" s="4"/>
      <c r="H1" s="4"/>
      <c r="I1" s="4"/>
      <c r="J1" s="4"/>
      <c r="K1" s="4"/>
      <c r="L1" s="4" t="s">
        <v>3</v>
      </c>
      <c r="M1" s="4" t="s">
        <v>4</v>
      </c>
      <c r="N1" s="4"/>
      <c r="O1" s="4"/>
      <c r="P1" s="4"/>
      <c r="Q1" s="4"/>
    </row>
    <row r="2" spans="1:17" x14ac:dyDescent="0.3">
      <c r="A2" s="4">
        <v>1</v>
      </c>
      <c r="B2" s="6">
        <v>23.43</v>
      </c>
      <c r="C2" s="6">
        <v>21.33</v>
      </c>
      <c r="D2" s="6">
        <v>19.920000000000002</v>
      </c>
      <c r="E2" s="6">
        <v>19.34</v>
      </c>
      <c r="F2" s="6">
        <v>22.61</v>
      </c>
      <c r="G2" s="6">
        <v>22.35</v>
      </c>
      <c r="H2" s="4"/>
      <c r="I2" s="6"/>
      <c r="J2" s="6"/>
      <c r="K2" s="6"/>
      <c r="L2" s="6">
        <f t="shared" ref="L2:L13" si="0">AVERAGE(B2:G2)</f>
        <v>21.49666666666667</v>
      </c>
      <c r="M2" s="4"/>
      <c r="N2" s="6">
        <f>AVERAGE(L2:L15)</f>
        <v>20.294797619047621</v>
      </c>
      <c r="O2" s="4"/>
      <c r="P2" s="4"/>
      <c r="Q2" s="4"/>
    </row>
    <row r="3" spans="1:17" ht="15" x14ac:dyDescent="0.3">
      <c r="A3" s="4">
        <v>2</v>
      </c>
      <c r="B3" s="6">
        <v>20.97</v>
      </c>
      <c r="C3" s="6">
        <v>21.92</v>
      </c>
      <c r="D3" s="6">
        <v>20.93</v>
      </c>
      <c r="E3" s="6">
        <v>21.9</v>
      </c>
      <c r="F3" s="6">
        <v>21.22</v>
      </c>
      <c r="G3" s="6">
        <v>19.87</v>
      </c>
      <c r="H3" s="4"/>
      <c r="I3" s="6"/>
      <c r="J3" s="6"/>
      <c r="K3" s="6"/>
      <c r="L3" s="6">
        <f t="shared" si="0"/>
        <v>21.135000000000002</v>
      </c>
      <c r="M3" s="4"/>
      <c r="N3" s="7">
        <f>AVERAGE(B2:I14)</f>
        <v>20.381250000000001</v>
      </c>
      <c r="O3" s="4"/>
      <c r="P3" s="4"/>
      <c r="Q3" s="4"/>
    </row>
    <row r="4" spans="1:17" x14ac:dyDescent="0.3">
      <c r="A4" s="4">
        <v>3</v>
      </c>
      <c r="B4" s="6">
        <v>19.260000000000002</v>
      </c>
      <c r="C4" s="6">
        <v>20.89</v>
      </c>
      <c r="D4" s="6">
        <v>20.54</v>
      </c>
      <c r="E4" s="6">
        <v>20.64</v>
      </c>
      <c r="F4" s="6">
        <v>23.16</v>
      </c>
      <c r="G4" s="6">
        <v>20.239999999999998</v>
      </c>
      <c r="H4" s="4"/>
      <c r="I4" s="6"/>
      <c r="J4" s="6"/>
      <c r="K4" s="6"/>
      <c r="L4" s="6">
        <f t="shared" si="0"/>
        <v>20.788333333333334</v>
      </c>
      <c r="M4" s="4"/>
      <c r="N4" s="4"/>
      <c r="O4" s="4"/>
      <c r="P4" s="4"/>
      <c r="Q4" s="4"/>
    </row>
    <row r="5" spans="1:17" x14ac:dyDescent="0.3">
      <c r="A5" s="4">
        <v>4</v>
      </c>
      <c r="B5" s="6">
        <v>19.43</v>
      </c>
      <c r="C5" s="6">
        <v>18.87</v>
      </c>
      <c r="D5" s="6">
        <v>20.440000000000001</v>
      </c>
      <c r="E5" s="6">
        <v>19.55</v>
      </c>
      <c r="F5" s="6">
        <v>18.8</v>
      </c>
      <c r="G5" s="6">
        <v>22.41</v>
      </c>
      <c r="H5" s="4"/>
      <c r="I5" s="6"/>
      <c r="J5" s="6"/>
      <c r="K5" s="6"/>
      <c r="L5" s="6">
        <f t="shared" si="0"/>
        <v>19.916666666666664</v>
      </c>
      <c r="M5" s="4"/>
      <c r="N5" s="4"/>
      <c r="O5" s="4"/>
      <c r="P5" s="4"/>
      <c r="Q5" s="4"/>
    </row>
    <row r="6" spans="1:17" x14ac:dyDescent="0.3">
      <c r="A6" s="4">
        <v>5</v>
      </c>
      <c r="B6" s="6">
        <v>19.37</v>
      </c>
      <c r="C6" s="6">
        <v>22.82</v>
      </c>
      <c r="D6" s="6">
        <v>22.78</v>
      </c>
      <c r="E6" s="6">
        <v>19.2</v>
      </c>
      <c r="F6" s="6">
        <v>18.27</v>
      </c>
      <c r="G6" s="6">
        <v>19.309999999999999</v>
      </c>
      <c r="H6" s="4"/>
      <c r="I6" s="6"/>
      <c r="J6" s="6"/>
      <c r="K6" s="6"/>
      <c r="L6" s="6">
        <f t="shared" si="0"/>
        <v>20.291666666666668</v>
      </c>
      <c r="M6" s="4"/>
      <c r="N6" s="4"/>
      <c r="O6" s="4"/>
      <c r="P6" s="4"/>
      <c r="Q6" s="4"/>
    </row>
    <row r="7" spans="1:17" x14ac:dyDescent="0.3">
      <c r="A7" s="4">
        <v>6</v>
      </c>
      <c r="B7" s="6">
        <v>22.18</v>
      </c>
      <c r="C7" s="6">
        <v>20.91</v>
      </c>
      <c r="D7" s="6">
        <v>23.62</v>
      </c>
      <c r="E7" s="6">
        <v>21.52</v>
      </c>
      <c r="F7" s="6">
        <v>22.03</v>
      </c>
      <c r="G7" s="6">
        <v>22.47</v>
      </c>
      <c r="H7" s="4"/>
      <c r="I7" s="6"/>
      <c r="J7" s="6"/>
      <c r="K7" s="6"/>
      <c r="L7" s="6">
        <f t="shared" si="0"/>
        <v>22.12166666666667</v>
      </c>
      <c r="M7" s="4"/>
      <c r="N7" s="4"/>
      <c r="O7" s="4"/>
      <c r="P7" s="4"/>
      <c r="Q7" s="4"/>
    </row>
    <row r="8" spans="1:17" x14ac:dyDescent="0.3">
      <c r="A8" s="4">
        <v>7</v>
      </c>
      <c r="B8" s="6">
        <v>20.94</v>
      </c>
      <c r="C8" s="6">
        <v>22.03</v>
      </c>
      <c r="D8" s="6">
        <v>21.31</v>
      </c>
      <c r="E8" s="6">
        <v>21.86</v>
      </c>
      <c r="F8" s="6">
        <v>23.24</v>
      </c>
      <c r="G8" s="6">
        <v>21.36</v>
      </c>
      <c r="H8" s="4"/>
      <c r="I8" s="6"/>
      <c r="J8" s="6"/>
      <c r="K8" s="6"/>
      <c r="L8" s="6">
        <f t="shared" si="0"/>
        <v>21.790000000000003</v>
      </c>
      <c r="M8" s="4"/>
      <c r="N8" s="4"/>
      <c r="O8" s="4"/>
      <c r="P8" s="4"/>
      <c r="Q8" s="4"/>
    </row>
    <row r="9" spans="1:17" x14ac:dyDescent="0.3">
      <c r="A9" s="4">
        <v>8</v>
      </c>
      <c r="B9" s="6">
        <v>20.329999999999998</v>
      </c>
      <c r="C9" s="6">
        <v>19.5</v>
      </c>
      <c r="D9" s="6">
        <v>21.4</v>
      </c>
      <c r="E9" s="6">
        <v>19.95</v>
      </c>
      <c r="F9" s="6">
        <v>20.12</v>
      </c>
      <c r="G9" s="6">
        <v>21.39</v>
      </c>
      <c r="H9" s="4"/>
      <c r="I9" s="6"/>
      <c r="J9" s="6"/>
      <c r="K9" s="6"/>
      <c r="L9" s="6">
        <f t="shared" si="0"/>
        <v>20.448333333333334</v>
      </c>
      <c r="M9" s="4"/>
      <c r="N9" s="4"/>
      <c r="O9" s="4"/>
      <c r="P9" s="4"/>
      <c r="Q9" s="4"/>
    </row>
    <row r="10" spans="1:17" ht="15" x14ac:dyDescent="0.3">
      <c r="A10" s="4">
        <v>9</v>
      </c>
      <c r="B10" s="6">
        <v>19.78</v>
      </c>
      <c r="C10" s="6">
        <v>20.18</v>
      </c>
      <c r="D10" s="6">
        <v>22.97</v>
      </c>
      <c r="E10" s="6">
        <v>22.86</v>
      </c>
      <c r="F10" s="6">
        <v>20.440000000000001</v>
      </c>
      <c r="G10" s="6">
        <v>23.83</v>
      </c>
      <c r="H10" s="4"/>
      <c r="I10" s="7"/>
      <c r="J10" s="6"/>
      <c r="K10" s="6"/>
      <c r="L10" s="6">
        <f t="shared" si="0"/>
        <v>21.676666666666666</v>
      </c>
      <c r="M10" s="4"/>
      <c r="N10" s="4"/>
      <c r="O10" s="4"/>
      <c r="P10" s="4"/>
      <c r="Q10" s="4"/>
    </row>
    <row r="11" spans="1:17" x14ac:dyDescent="0.3">
      <c r="A11" s="4">
        <v>10</v>
      </c>
      <c r="B11" s="6">
        <v>21.53</v>
      </c>
      <c r="C11" s="6">
        <v>19.45</v>
      </c>
      <c r="D11" s="6">
        <v>20.46</v>
      </c>
      <c r="E11" s="6">
        <v>20.78</v>
      </c>
      <c r="F11" s="6">
        <v>22.11</v>
      </c>
      <c r="G11" s="6">
        <v>19.329999999999998</v>
      </c>
      <c r="H11" s="4"/>
      <c r="I11" s="6"/>
      <c r="J11" s="6"/>
      <c r="K11" s="6"/>
      <c r="L11" s="6">
        <f t="shared" si="0"/>
        <v>20.61</v>
      </c>
      <c r="M11" s="4"/>
      <c r="N11" s="4"/>
      <c r="O11" s="4"/>
      <c r="P11" s="4"/>
      <c r="Q11" s="4"/>
    </row>
    <row r="12" spans="1:17" ht="15" x14ac:dyDescent="0.3">
      <c r="A12" s="4">
        <v>11</v>
      </c>
      <c r="B12" s="6">
        <v>19.170000000000002</v>
      </c>
      <c r="C12" s="6">
        <v>19.79</v>
      </c>
      <c r="D12" s="6">
        <v>21.68</v>
      </c>
      <c r="E12" s="6">
        <v>20.89</v>
      </c>
      <c r="F12" s="6">
        <v>19.420000000000002</v>
      </c>
      <c r="G12" s="6">
        <v>22.6</v>
      </c>
      <c r="H12" s="4"/>
      <c r="I12" s="6"/>
      <c r="J12" s="7"/>
      <c r="K12" s="6"/>
      <c r="L12" s="6">
        <f t="shared" si="0"/>
        <v>20.591666666666669</v>
      </c>
      <c r="M12" s="4"/>
      <c r="N12" s="4"/>
      <c r="O12" s="4"/>
      <c r="P12" s="4"/>
      <c r="Q12" s="4"/>
    </row>
    <row r="13" spans="1:17" x14ac:dyDescent="0.3">
      <c r="A13" s="4">
        <v>12</v>
      </c>
      <c r="B13" s="6">
        <v>20.04</v>
      </c>
      <c r="C13" s="6">
        <v>19.22</v>
      </c>
      <c r="D13" s="6">
        <v>18.91</v>
      </c>
      <c r="E13" s="6">
        <v>19.760000000000002</v>
      </c>
      <c r="F13" s="6">
        <v>22.8</v>
      </c>
      <c r="G13" s="6">
        <v>19.989999999999998</v>
      </c>
      <c r="H13" s="4"/>
      <c r="I13" s="6"/>
      <c r="J13" s="6"/>
      <c r="K13" s="6"/>
      <c r="L13" s="6">
        <f t="shared" si="0"/>
        <v>20.12</v>
      </c>
      <c r="M13" s="4"/>
      <c r="N13" s="4"/>
      <c r="O13" s="4"/>
      <c r="P13" s="4"/>
      <c r="Q13" s="4"/>
    </row>
    <row r="14" spans="1:17" x14ac:dyDescent="0.3">
      <c r="A14" s="4" t="s">
        <v>42</v>
      </c>
      <c r="B14" s="6">
        <v>14.97</v>
      </c>
      <c r="C14" s="6">
        <v>15.59</v>
      </c>
      <c r="D14" s="6">
        <v>14.9</v>
      </c>
      <c r="E14" s="6">
        <v>16.37</v>
      </c>
      <c r="F14" s="6">
        <v>13.56</v>
      </c>
      <c r="G14" s="6">
        <v>16.350000000000001</v>
      </c>
      <c r="H14" s="6">
        <v>16.399999999999999</v>
      </c>
      <c r="I14" s="6">
        <v>16.440000000000001</v>
      </c>
      <c r="J14" s="6"/>
      <c r="K14" s="6"/>
      <c r="L14" s="6">
        <f>AVERAGE(B14:I14)</f>
        <v>15.572500000000002</v>
      </c>
      <c r="M14" s="4"/>
      <c r="N14" s="4"/>
      <c r="O14" s="4"/>
      <c r="P14" s="4"/>
      <c r="Q14" s="4"/>
    </row>
    <row r="15" spans="1:17" ht="15" x14ac:dyDescent="0.3">
      <c r="A15" s="4" t="s">
        <v>43</v>
      </c>
      <c r="B15" s="6">
        <v>16.59</v>
      </c>
      <c r="C15" s="6">
        <v>18.04</v>
      </c>
      <c r="D15" s="6">
        <v>17.55</v>
      </c>
      <c r="E15" s="6">
        <v>17.37</v>
      </c>
      <c r="F15" s="6">
        <v>17.46</v>
      </c>
      <c r="G15" s="6">
        <v>17.22</v>
      </c>
      <c r="H15" s="6">
        <v>17.16</v>
      </c>
      <c r="I15" s="6">
        <v>17.77</v>
      </c>
      <c r="J15" s="6">
        <v>18.02</v>
      </c>
      <c r="K15" s="6">
        <v>18.5</v>
      </c>
      <c r="L15" s="7">
        <f>AVERAGE(B15:K15)</f>
        <v>17.568000000000001</v>
      </c>
      <c r="M15" s="4"/>
      <c r="N15" s="4"/>
      <c r="O15" s="4"/>
      <c r="P15" s="4"/>
      <c r="Q15" s="4"/>
    </row>
    <row r="16" spans="1:17" x14ac:dyDescent="0.3">
      <c r="A16" s="4" t="s">
        <v>95</v>
      </c>
      <c r="B16" s="4"/>
      <c r="C16" s="4"/>
      <c r="D16" s="4" t="s">
        <v>41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x14ac:dyDescent="0.3">
      <c r="A17" s="4">
        <v>1</v>
      </c>
      <c r="B17" s="6">
        <v>24.05</v>
      </c>
      <c r="C17" s="6">
        <v>25.22</v>
      </c>
      <c r="D17" s="6">
        <v>19.29</v>
      </c>
      <c r="E17" s="6">
        <v>21.72</v>
      </c>
      <c r="F17" s="6">
        <v>23.16</v>
      </c>
      <c r="G17" s="6">
        <v>22.15</v>
      </c>
      <c r="H17" s="6"/>
      <c r="I17" s="6"/>
      <c r="J17" s="6"/>
      <c r="K17" s="6"/>
      <c r="L17" s="6">
        <f>AVERAGE(B17:G17)</f>
        <v>22.598333333333333</v>
      </c>
      <c r="M17" s="4"/>
      <c r="N17" s="6">
        <f>AVERAGE(L17:L30)</f>
        <v>21.936726190476197</v>
      </c>
      <c r="O17" s="4"/>
      <c r="P17" s="4"/>
      <c r="Q17" s="4"/>
    </row>
    <row r="18" spans="1:17" x14ac:dyDescent="0.3">
      <c r="A18" s="4">
        <v>2</v>
      </c>
      <c r="B18" s="6">
        <v>21.5</v>
      </c>
      <c r="C18" s="6">
        <v>19.350000000000001</v>
      </c>
      <c r="D18" s="6">
        <v>19.690000000000001</v>
      </c>
      <c r="E18" s="6">
        <v>19.38</v>
      </c>
      <c r="F18" s="6">
        <v>23.02</v>
      </c>
      <c r="G18" s="6">
        <v>18.98</v>
      </c>
      <c r="H18" s="6"/>
      <c r="I18" s="6"/>
      <c r="J18" s="6"/>
      <c r="K18" s="6"/>
      <c r="L18" s="6">
        <f t="shared" ref="L18:L28" si="1">AVERAGE(B18:G18)</f>
        <v>20.32</v>
      </c>
      <c r="M18" s="4"/>
      <c r="N18" s="4"/>
      <c r="O18" s="4"/>
      <c r="P18" s="4"/>
      <c r="Q18" s="4"/>
    </row>
    <row r="19" spans="1:17" ht="15" x14ac:dyDescent="0.3">
      <c r="A19" s="4">
        <v>3</v>
      </c>
      <c r="B19" s="6">
        <v>19.53</v>
      </c>
      <c r="C19" s="6">
        <v>20.51</v>
      </c>
      <c r="D19" s="6">
        <v>23.67</v>
      </c>
      <c r="E19" s="6">
        <v>21.01</v>
      </c>
      <c r="F19" s="6">
        <v>25.5</v>
      </c>
      <c r="G19" s="6">
        <v>25.42</v>
      </c>
      <c r="H19" s="6"/>
      <c r="I19" s="6"/>
      <c r="J19" s="6"/>
      <c r="K19" s="6"/>
      <c r="L19" s="6">
        <f t="shared" si="1"/>
        <v>22.606666666666669</v>
      </c>
      <c r="M19" s="4"/>
      <c r="N19" s="7">
        <f>AVERAGE(B17:G30)</f>
        <v>22.046951219512195</v>
      </c>
      <c r="O19" s="4"/>
      <c r="P19" s="4"/>
      <c r="Q19" s="4"/>
    </row>
    <row r="20" spans="1:17" x14ac:dyDescent="0.3">
      <c r="A20" s="4">
        <v>4</v>
      </c>
      <c r="B20" s="6">
        <v>21.41</v>
      </c>
      <c r="C20" s="6">
        <v>23.73</v>
      </c>
      <c r="D20" s="6">
        <v>19.78</v>
      </c>
      <c r="E20" s="6">
        <v>23.02</v>
      </c>
      <c r="F20" s="6">
        <v>22.13</v>
      </c>
      <c r="G20" s="6">
        <v>20.6</v>
      </c>
      <c r="H20" s="6"/>
      <c r="I20" s="6"/>
      <c r="J20" s="6"/>
      <c r="K20" s="6"/>
      <c r="L20" s="6">
        <f t="shared" si="1"/>
        <v>21.778333333333332</v>
      </c>
      <c r="M20" s="4"/>
      <c r="N20" s="4"/>
      <c r="O20" s="4"/>
      <c r="P20" s="4"/>
      <c r="Q20" s="4"/>
    </row>
    <row r="21" spans="1:17" x14ac:dyDescent="0.3">
      <c r="A21" s="4">
        <v>5</v>
      </c>
      <c r="B21" s="6">
        <v>23.24</v>
      </c>
      <c r="C21" s="6">
        <v>18.55</v>
      </c>
      <c r="D21" s="6">
        <v>22.93</v>
      </c>
      <c r="E21" s="6">
        <v>23.43</v>
      </c>
      <c r="F21" s="6">
        <v>23.66</v>
      </c>
      <c r="G21" s="6">
        <v>21.62</v>
      </c>
      <c r="H21" s="6"/>
      <c r="I21" s="6"/>
      <c r="J21" s="6"/>
      <c r="K21" s="6"/>
      <c r="L21" s="6">
        <f t="shared" si="1"/>
        <v>22.238333333333333</v>
      </c>
      <c r="M21" s="4"/>
      <c r="N21" s="4"/>
      <c r="O21" s="4"/>
      <c r="P21" s="4"/>
      <c r="Q21" s="4"/>
    </row>
    <row r="22" spans="1:17" x14ac:dyDescent="0.3">
      <c r="A22" s="4">
        <v>6</v>
      </c>
      <c r="B22" s="6">
        <v>20.65</v>
      </c>
      <c r="C22" s="6">
        <v>18.690000000000001</v>
      </c>
      <c r="D22" s="6">
        <v>16.62</v>
      </c>
      <c r="E22" s="6">
        <v>21.75</v>
      </c>
      <c r="F22" s="6">
        <v>21.55</v>
      </c>
      <c r="G22" s="6">
        <v>19.8</v>
      </c>
      <c r="H22" s="6"/>
      <c r="I22" s="6"/>
      <c r="J22" s="6"/>
      <c r="K22" s="6"/>
      <c r="L22" s="6">
        <f t="shared" si="1"/>
        <v>19.843333333333334</v>
      </c>
      <c r="M22" s="4"/>
      <c r="N22" s="4"/>
      <c r="O22" s="4"/>
      <c r="P22" s="4"/>
      <c r="Q22" s="4"/>
    </row>
    <row r="23" spans="1:17" x14ac:dyDescent="0.3">
      <c r="A23" s="4">
        <v>7</v>
      </c>
      <c r="B23" s="6">
        <v>28.11</v>
      </c>
      <c r="C23" s="6">
        <v>21.69</v>
      </c>
      <c r="D23" s="6">
        <v>23.32</v>
      </c>
      <c r="E23" s="6">
        <v>27.01</v>
      </c>
      <c r="F23" s="6">
        <v>25.71</v>
      </c>
      <c r="G23" s="6">
        <v>26.32</v>
      </c>
      <c r="H23" s="6"/>
      <c r="I23" s="6"/>
      <c r="J23" s="6"/>
      <c r="K23" s="6"/>
      <c r="L23" s="6">
        <f t="shared" si="1"/>
        <v>25.36</v>
      </c>
      <c r="M23" s="4"/>
      <c r="N23" s="4"/>
      <c r="O23" s="4"/>
      <c r="P23" s="4"/>
      <c r="Q23" s="4"/>
    </row>
    <row r="24" spans="1:17" x14ac:dyDescent="0.3">
      <c r="A24" s="4">
        <v>8</v>
      </c>
      <c r="B24" s="6">
        <v>17.59</v>
      </c>
      <c r="C24" s="6">
        <v>18.399999999999999</v>
      </c>
      <c r="D24" s="6">
        <v>20.28</v>
      </c>
      <c r="E24" s="6">
        <v>19.989999999999998</v>
      </c>
      <c r="F24" s="6">
        <v>25.9</v>
      </c>
      <c r="G24" s="6">
        <v>24.03</v>
      </c>
      <c r="H24" s="6"/>
      <c r="I24" s="6"/>
      <c r="J24" s="6"/>
      <c r="K24" s="6"/>
      <c r="L24" s="6">
        <f t="shared" si="1"/>
        <v>21.031666666666666</v>
      </c>
      <c r="M24" s="4"/>
      <c r="N24" s="4"/>
      <c r="O24" s="4"/>
      <c r="P24" s="4"/>
      <c r="Q24" s="4"/>
    </row>
    <row r="25" spans="1:17" x14ac:dyDescent="0.3">
      <c r="A25" s="4">
        <v>9</v>
      </c>
      <c r="B25" s="6">
        <v>21.75</v>
      </c>
      <c r="C25" s="6">
        <v>26.68</v>
      </c>
      <c r="D25" s="6">
        <v>23.69</v>
      </c>
      <c r="E25" s="6">
        <v>21.11</v>
      </c>
      <c r="F25" s="6">
        <v>24.32</v>
      </c>
      <c r="G25" s="6">
        <v>25.46</v>
      </c>
      <c r="H25" s="6"/>
      <c r="I25" s="6"/>
      <c r="J25" s="6"/>
      <c r="K25" s="6"/>
      <c r="L25" s="6">
        <f t="shared" si="1"/>
        <v>23.835000000000004</v>
      </c>
      <c r="M25" s="4"/>
      <c r="N25" s="4"/>
      <c r="O25" s="4"/>
      <c r="P25" s="4"/>
      <c r="Q25" s="4"/>
    </row>
    <row r="26" spans="1:17" x14ac:dyDescent="0.3">
      <c r="A26" s="4">
        <v>10</v>
      </c>
      <c r="B26" s="6">
        <v>23.65</v>
      </c>
      <c r="C26" s="6">
        <v>24.58</v>
      </c>
      <c r="D26" s="6">
        <v>21.11</v>
      </c>
      <c r="E26" s="6">
        <v>27.2</v>
      </c>
      <c r="F26" s="6">
        <v>22.2</v>
      </c>
      <c r="G26" s="6">
        <v>23.03</v>
      </c>
      <c r="H26" s="6"/>
      <c r="I26" s="6"/>
      <c r="J26" s="6"/>
      <c r="K26" s="6"/>
      <c r="L26" s="6">
        <f t="shared" si="1"/>
        <v>23.628333333333334</v>
      </c>
      <c r="M26" s="4"/>
      <c r="N26" s="4"/>
      <c r="O26" s="4"/>
      <c r="P26" s="4"/>
      <c r="Q26" s="4"/>
    </row>
    <row r="27" spans="1:17" x14ac:dyDescent="0.3">
      <c r="A27" s="4">
        <v>11</v>
      </c>
      <c r="B27" s="6">
        <v>17.28</v>
      </c>
      <c r="C27" s="6">
        <v>27.92</v>
      </c>
      <c r="D27" s="6">
        <v>21.36</v>
      </c>
      <c r="E27" s="6">
        <v>18.46</v>
      </c>
      <c r="F27" s="6">
        <v>25.88</v>
      </c>
      <c r="G27" s="6">
        <v>20.51</v>
      </c>
      <c r="H27" s="6"/>
      <c r="I27" s="6"/>
      <c r="J27" s="6"/>
      <c r="K27" s="6"/>
      <c r="L27" s="6">
        <f t="shared" si="1"/>
        <v>21.901666666666667</v>
      </c>
      <c r="M27" s="4"/>
      <c r="N27" s="4"/>
      <c r="O27" s="4"/>
      <c r="P27" s="4"/>
      <c r="Q27" s="4"/>
    </row>
    <row r="28" spans="1:17" x14ac:dyDescent="0.3">
      <c r="A28" s="4">
        <v>12</v>
      </c>
      <c r="B28" s="6">
        <v>20.89</v>
      </c>
      <c r="C28" s="6">
        <v>26.01</v>
      </c>
      <c r="D28" s="6">
        <v>23.94</v>
      </c>
      <c r="E28" s="6">
        <v>21.66</v>
      </c>
      <c r="F28" s="6">
        <v>25.29</v>
      </c>
      <c r="G28" s="6">
        <v>21.76</v>
      </c>
      <c r="H28" s="6"/>
      <c r="I28" s="6"/>
      <c r="J28" s="6"/>
      <c r="K28" s="6"/>
      <c r="L28" s="6">
        <f t="shared" si="1"/>
        <v>23.258333333333329</v>
      </c>
      <c r="M28" s="4"/>
      <c r="N28" s="4"/>
      <c r="O28" s="4"/>
      <c r="P28" s="4"/>
      <c r="Q28" s="4"/>
    </row>
    <row r="29" spans="1:17" x14ac:dyDescent="0.3">
      <c r="A29" s="4" t="s">
        <v>42</v>
      </c>
      <c r="B29" s="6">
        <v>18</v>
      </c>
      <c r="C29" s="6">
        <v>20.69</v>
      </c>
      <c r="D29" s="6">
        <v>20.96</v>
      </c>
      <c r="E29" s="6">
        <v>24.86</v>
      </c>
      <c r="F29" s="6">
        <v>22.57</v>
      </c>
      <c r="G29" s="6">
        <v>20.7</v>
      </c>
      <c r="H29" s="6"/>
      <c r="I29" s="6"/>
      <c r="J29" s="6"/>
      <c r="K29" s="6"/>
      <c r="L29" s="6">
        <f>AVERAGE(B29:G29)</f>
        <v>21.296666666666663</v>
      </c>
      <c r="M29" s="4"/>
      <c r="N29" s="4"/>
      <c r="O29" s="4"/>
      <c r="P29" s="4"/>
      <c r="Q29" s="4"/>
    </row>
    <row r="30" spans="1:17" x14ac:dyDescent="0.3">
      <c r="A30" s="4" t="s">
        <v>44</v>
      </c>
      <c r="B30" s="6">
        <v>19.77</v>
      </c>
      <c r="C30" s="6">
        <v>20.74</v>
      </c>
      <c r="D30" s="6">
        <v>15.3</v>
      </c>
      <c r="E30" s="6">
        <v>13.86</v>
      </c>
      <c r="F30" s="6"/>
      <c r="G30" s="6"/>
      <c r="H30" s="6"/>
      <c r="I30" s="6"/>
      <c r="J30" s="6"/>
      <c r="K30" s="6"/>
      <c r="L30" s="6">
        <f>AVERAGE(B30:E30)</f>
        <v>17.4175</v>
      </c>
      <c r="M30" s="4"/>
      <c r="N30" s="4"/>
      <c r="O30" s="4"/>
      <c r="P30" s="4"/>
      <c r="Q30" s="4"/>
    </row>
    <row r="31" spans="1:17" ht="15" x14ac:dyDescent="0.3">
      <c r="A31" s="4" t="s">
        <v>43</v>
      </c>
      <c r="B31" s="6">
        <v>22.5</v>
      </c>
      <c r="C31" s="6">
        <v>23.06</v>
      </c>
      <c r="D31" s="6">
        <v>23.06</v>
      </c>
      <c r="E31" s="6">
        <v>21.01</v>
      </c>
      <c r="F31" s="6">
        <v>21.27</v>
      </c>
      <c r="G31" s="6">
        <v>21.95</v>
      </c>
      <c r="H31" s="6">
        <v>23.64</v>
      </c>
      <c r="I31" s="6">
        <v>22.37</v>
      </c>
      <c r="J31" s="6"/>
      <c r="K31" s="6"/>
      <c r="L31" s="7">
        <f>AVERAGE(B31:I31)</f>
        <v>22.357500000000002</v>
      </c>
      <c r="M31" s="4"/>
      <c r="N31" s="4"/>
      <c r="O31" s="4"/>
      <c r="P31" s="4"/>
      <c r="Q31" s="4"/>
    </row>
    <row r="32" spans="1:17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x14ac:dyDescent="0.3">
      <c r="A33" s="4" t="s">
        <v>96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x14ac:dyDescent="0.3">
      <c r="A34" s="4">
        <v>1</v>
      </c>
      <c r="B34" s="4">
        <v>25.28</v>
      </c>
      <c r="C34" s="6">
        <v>24.03</v>
      </c>
      <c r="D34" s="6">
        <v>28.36</v>
      </c>
      <c r="E34" s="6">
        <v>26.72</v>
      </c>
      <c r="F34" s="6">
        <v>24.14</v>
      </c>
      <c r="G34" s="6">
        <v>21.47</v>
      </c>
      <c r="H34" s="4"/>
      <c r="I34" s="4"/>
      <c r="J34" s="4"/>
      <c r="K34" s="4"/>
      <c r="L34" s="6">
        <f>AVERAGE(B34:G34)</f>
        <v>25</v>
      </c>
      <c r="M34" s="4"/>
      <c r="N34" s="6">
        <f>AVERAGE(L34:L47)</f>
        <v>24.977261904761907</v>
      </c>
      <c r="O34" s="4"/>
      <c r="P34" s="4"/>
      <c r="Q34" s="4"/>
    </row>
    <row r="35" spans="1:17" x14ac:dyDescent="0.3">
      <c r="A35" s="4">
        <v>2</v>
      </c>
      <c r="B35" s="6">
        <v>24.52</v>
      </c>
      <c r="C35" s="6">
        <v>25.56</v>
      </c>
      <c r="D35" s="6">
        <v>25.65</v>
      </c>
      <c r="E35" s="6">
        <v>22.19</v>
      </c>
      <c r="F35" s="6">
        <v>23.46</v>
      </c>
      <c r="G35" s="6">
        <v>24.2</v>
      </c>
      <c r="H35" s="4"/>
      <c r="I35" s="4"/>
      <c r="J35" s="4"/>
      <c r="K35" s="4"/>
      <c r="L35" s="6">
        <f t="shared" ref="L35:L46" si="2">AVERAGE(B35:G35)</f>
        <v>24.263333333333332</v>
      </c>
      <c r="M35" s="4"/>
      <c r="N35" s="4"/>
      <c r="O35" s="4"/>
      <c r="P35" s="4"/>
      <c r="Q35" s="4"/>
    </row>
    <row r="36" spans="1:17" ht="15" x14ac:dyDescent="0.3">
      <c r="A36" s="4">
        <v>3</v>
      </c>
      <c r="B36" s="6">
        <v>24.74</v>
      </c>
      <c r="C36" s="6">
        <v>22.53</v>
      </c>
      <c r="D36" s="6">
        <v>27.34</v>
      </c>
      <c r="E36" s="6">
        <v>27.15</v>
      </c>
      <c r="F36" s="6">
        <v>25.86</v>
      </c>
      <c r="G36" s="6">
        <v>23.38</v>
      </c>
      <c r="H36" s="4"/>
      <c r="I36" s="4"/>
      <c r="J36" s="4"/>
      <c r="K36" s="4"/>
      <c r="L36" s="6">
        <f t="shared" si="2"/>
        <v>25.166666666666668</v>
      </c>
      <c r="M36" s="4"/>
      <c r="N36" s="5">
        <f>AVERAGE(B34:G47)</f>
        <v>25.046951219512199</v>
      </c>
      <c r="O36" s="4"/>
      <c r="P36" s="4"/>
      <c r="Q36" s="4"/>
    </row>
    <row r="37" spans="1:17" x14ac:dyDescent="0.3">
      <c r="A37" s="4">
        <v>4</v>
      </c>
      <c r="B37" s="6">
        <v>24.04</v>
      </c>
      <c r="C37" s="6">
        <v>21.91</v>
      </c>
      <c r="D37" s="6">
        <v>23.48</v>
      </c>
      <c r="E37" s="6">
        <v>22.98</v>
      </c>
      <c r="F37" s="6">
        <v>25.24</v>
      </c>
      <c r="G37" s="6">
        <v>22.56</v>
      </c>
      <c r="H37" s="4"/>
      <c r="I37" s="4"/>
      <c r="J37" s="4"/>
      <c r="K37" s="4"/>
      <c r="L37" s="6">
        <f t="shared" si="2"/>
        <v>23.368333333333336</v>
      </c>
      <c r="M37" s="4"/>
      <c r="N37" s="4"/>
      <c r="O37" s="4"/>
      <c r="P37" s="4"/>
      <c r="Q37" s="4"/>
    </row>
    <row r="38" spans="1:17" x14ac:dyDescent="0.3">
      <c r="A38" s="4">
        <v>5</v>
      </c>
      <c r="B38" s="6">
        <v>25.42</v>
      </c>
      <c r="C38" s="6">
        <v>26.56</v>
      </c>
      <c r="D38" s="6">
        <v>24.9</v>
      </c>
      <c r="E38" s="6">
        <v>25.65</v>
      </c>
      <c r="F38" s="6">
        <v>23.8</v>
      </c>
      <c r="G38" s="6">
        <v>20.84</v>
      </c>
      <c r="H38" s="4"/>
      <c r="I38" s="4"/>
      <c r="J38" s="4"/>
      <c r="K38" s="4"/>
      <c r="L38" s="6">
        <f t="shared" si="2"/>
        <v>24.528333333333332</v>
      </c>
      <c r="M38" s="4"/>
      <c r="N38" s="4"/>
      <c r="O38" s="4"/>
      <c r="P38" s="4"/>
      <c r="Q38" s="4"/>
    </row>
    <row r="39" spans="1:17" x14ac:dyDescent="0.3">
      <c r="A39" s="4">
        <v>6</v>
      </c>
      <c r="B39" s="6">
        <v>24.74</v>
      </c>
      <c r="C39" s="6">
        <v>23.96</v>
      </c>
      <c r="D39" s="6">
        <v>23.6</v>
      </c>
      <c r="E39" s="6">
        <v>23.63</v>
      </c>
      <c r="F39" s="6">
        <v>23.21</v>
      </c>
      <c r="G39" s="6">
        <v>24.11</v>
      </c>
      <c r="H39" s="4"/>
      <c r="I39" s="4"/>
      <c r="J39" s="4"/>
      <c r="K39" s="4"/>
      <c r="L39" s="6">
        <f t="shared" si="2"/>
        <v>23.875</v>
      </c>
      <c r="M39" s="4"/>
      <c r="N39" s="4"/>
      <c r="O39" s="4"/>
      <c r="P39" s="4"/>
      <c r="Q39" s="4"/>
    </row>
    <row r="40" spans="1:17" x14ac:dyDescent="0.3">
      <c r="A40" s="4">
        <v>7</v>
      </c>
      <c r="B40" s="6">
        <v>25.76</v>
      </c>
      <c r="C40" s="6">
        <v>23.98</v>
      </c>
      <c r="D40" s="6">
        <v>28.27</v>
      </c>
      <c r="E40" s="6">
        <v>26.09</v>
      </c>
      <c r="F40" s="6">
        <v>28.48</v>
      </c>
      <c r="G40" s="6">
        <v>29.42</v>
      </c>
      <c r="H40" s="4"/>
      <c r="I40" s="4"/>
      <c r="J40" s="4"/>
      <c r="K40" s="4"/>
      <c r="L40" s="6">
        <f t="shared" si="2"/>
        <v>27</v>
      </c>
      <c r="M40" s="4"/>
      <c r="N40" s="4"/>
      <c r="O40" s="4"/>
      <c r="P40" s="4"/>
      <c r="Q40" s="4"/>
    </row>
    <row r="41" spans="1:17" x14ac:dyDescent="0.3">
      <c r="A41" s="4">
        <v>8</v>
      </c>
      <c r="B41" s="6">
        <v>28.83</v>
      </c>
      <c r="C41" s="6">
        <v>19.53</v>
      </c>
      <c r="D41" s="6">
        <v>24.26</v>
      </c>
      <c r="E41" s="6">
        <v>24.36</v>
      </c>
      <c r="F41" s="6">
        <v>20.92</v>
      </c>
      <c r="G41" s="6">
        <v>28.98</v>
      </c>
      <c r="H41" s="4"/>
      <c r="I41" s="4"/>
      <c r="J41" s="4"/>
      <c r="K41" s="4"/>
      <c r="L41" s="6">
        <f t="shared" si="2"/>
        <v>24.48</v>
      </c>
      <c r="M41" s="4"/>
      <c r="N41" s="4"/>
      <c r="O41" s="4"/>
      <c r="P41" s="4"/>
      <c r="Q41" s="4"/>
    </row>
    <row r="42" spans="1:17" x14ac:dyDescent="0.3">
      <c r="A42" s="4">
        <v>9</v>
      </c>
      <c r="B42" s="6">
        <v>28.47</v>
      </c>
      <c r="C42" s="6">
        <v>27.16</v>
      </c>
      <c r="D42" s="6">
        <v>24.46</v>
      </c>
      <c r="E42" s="6">
        <v>28.88</v>
      </c>
      <c r="F42" s="6">
        <v>30.18</v>
      </c>
      <c r="G42" s="6">
        <v>23.09</v>
      </c>
      <c r="H42" s="4"/>
      <c r="I42" s="4"/>
      <c r="J42" s="4"/>
      <c r="K42" s="4"/>
      <c r="L42" s="6">
        <f t="shared" si="2"/>
        <v>27.040000000000003</v>
      </c>
      <c r="M42" s="4"/>
      <c r="N42" s="4"/>
      <c r="O42" s="4"/>
      <c r="P42" s="4"/>
      <c r="Q42" s="4"/>
    </row>
    <row r="43" spans="1:17" x14ac:dyDescent="0.3">
      <c r="A43" s="4">
        <v>10</v>
      </c>
      <c r="B43" s="6">
        <v>28.02</v>
      </c>
      <c r="C43" s="6">
        <v>29.74</v>
      </c>
      <c r="D43" s="6">
        <v>27.8</v>
      </c>
      <c r="E43" s="6">
        <v>26.29</v>
      </c>
      <c r="F43" s="6">
        <v>22.12</v>
      </c>
      <c r="G43" s="6">
        <v>25.32</v>
      </c>
      <c r="H43" s="4"/>
      <c r="I43" s="4"/>
      <c r="J43" s="4"/>
      <c r="K43" s="4"/>
      <c r="L43" s="6">
        <f t="shared" si="2"/>
        <v>26.548333333333332</v>
      </c>
      <c r="M43" s="4"/>
      <c r="N43" s="4"/>
      <c r="O43" s="4"/>
      <c r="P43" s="4"/>
      <c r="Q43" s="4"/>
    </row>
    <row r="44" spans="1:17" x14ac:dyDescent="0.3">
      <c r="A44" s="4">
        <v>11</v>
      </c>
      <c r="B44" s="6">
        <v>29.75</v>
      </c>
      <c r="C44" s="6">
        <v>21.23</v>
      </c>
      <c r="D44" s="6">
        <v>24.97</v>
      </c>
      <c r="E44" s="6">
        <v>26.49</v>
      </c>
      <c r="F44" s="6">
        <v>24.4</v>
      </c>
      <c r="G44" s="6">
        <v>29.25</v>
      </c>
      <c r="H44" s="4"/>
      <c r="I44" s="4"/>
      <c r="J44" s="4"/>
      <c r="K44" s="4"/>
      <c r="L44" s="6">
        <f t="shared" si="2"/>
        <v>26.015000000000001</v>
      </c>
      <c r="M44" s="4"/>
      <c r="N44" s="4"/>
      <c r="O44" s="4"/>
      <c r="P44" s="4"/>
      <c r="Q44" s="4"/>
    </row>
    <row r="45" spans="1:17" x14ac:dyDescent="0.3">
      <c r="A45" s="4">
        <v>12</v>
      </c>
      <c r="B45" s="6">
        <v>28.41</v>
      </c>
      <c r="C45" s="6">
        <v>23.06</v>
      </c>
      <c r="D45" s="6">
        <v>28.01</v>
      </c>
      <c r="E45" s="6">
        <v>25.91</v>
      </c>
      <c r="F45" s="6">
        <v>28.8</v>
      </c>
      <c r="G45" s="6">
        <v>23.63</v>
      </c>
      <c r="H45" s="4"/>
      <c r="I45" s="4"/>
      <c r="J45" s="4"/>
      <c r="K45" s="4"/>
      <c r="L45" s="6">
        <f t="shared" si="2"/>
        <v>26.303333333333331</v>
      </c>
      <c r="M45" s="4"/>
      <c r="N45" s="4"/>
      <c r="O45" s="4"/>
      <c r="P45" s="4"/>
      <c r="Q45" s="4"/>
    </row>
    <row r="46" spans="1:17" x14ac:dyDescent="0.3">
      <c r="A46" s="4" t="s">
        <v>42</v>
      </c>
      <c r="B46" s="6">
        <v>24.93</v>
      </c>
      <c r="C46" s="6">
        <v>27.78</v>
      </c>
      <c r="D46" s="6">
        <v>19.72</v>
      </c>
      <c r="E46" s="6">
        <v>24.15</v>
      </c>
      <c r="F46" s="6">
        <v>22.17</v>
      </c>
      <c r="G46" s="6">
        <v>25.09</v>
      </c>
      <c r="H46" s="4"/>
      <c r="I46" s="4"/>
      <c r="J46" s="4"/>
      <c r="K46" s="4"/>
      <c r="L46" s="6">
        <f t="shared" si="2"/>
        <v>23.973333333333333</v>
      </c>
      <c r="M46" s="4"/>
      <c r="N46" s="4"/>
      <c r="O46" s="4"/>
      <c r="P46" s="4"/>
      <c r="Q46" s="4"/>
    </row>
    <row r="47" spans="1:17" x14ac:dyDescent="0.3">
      <c r="A47" s="4" t="s">
        <v>44</v>
      </c>
      <c r="B47" s="6">
        <v>24.8</v>
      </c>
      <c r="C47" s="6">
        <v>18.18</v>
      </c>
      <c r="D47" s="6">
        <v>23.6</v>
      </c>
      <c r="E47" s="6">
        <v>21.9</v>
      </c>
      <c r="F47" s="4"/>
      <c r="G47" s="4"/>
      <c r="H47" s="4"/>
      <c r="I47" s="4"/>
      <c r="J47" s="4"/>
      <c r="K47" s="4"/>
      <c r="L47" s="6">
        <f>AVERAGE(B47:E47)</f>
        <v>22.120000000000005</v>
      </c>
      <c r="M47" s="4"/>
      <c r="N47" s="4"/>
      <c r="O47" s="4"/>
      <c r="P47" s="4"/>
      <c r="Q47" s="4"/>
    </row>
    <row r="48" spans="1:17" x14ac:dyDescent="0.3">
      <c r="A48" s="4" t="s">
        <v>43</v>
      </c>
      <c r="B48" s="6">
        <v>25.89</v>
      </c>
      <c r="C48" s="6">
        <v>26.97</v>
      </c>
      <c r="D48" s="6">
        <v>22.33</v>
      </c>
      <c r="E48" s="6">
        <v>27.09</v>
      </c>
      <c r="F48" s="6">
        <v>25.6</v>
      </c>
      <c r="G48" s="6">
        <v>22.72</v>
      </c>
      <c r="H48" s="6">
        <v>24.13</v>
      </c>
      <c r="I48" s="6">
        <v>23.25</v>
      </c>
      <c r="J48" s="4"/>
      <c r="K48" s="4"/>
      <c r="L48" s="6">
        <f>AVERAGE(B48:I48)</f>
        <v>24.747499999999999</v>
      </c>
      <c r="M48" s="4"/>
      <c r="N48" s="4"/>
      <c r="O48" s="4"/>
      <c r="P48" s="4"/>
      <c r="Q48" s="4"/>
    </row>
    <row r="49" spans="1:17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x14ac:dyDescent="0.3">
      <c r="A50" s="15" t="s">
        <v>97</v>
      </c>
      <c r="B50" s="15"/>
      <c r="C50" s="15"/>
      <c r="D50" s="15"/>
      <c r="E50" s="15"/>
      <c r="F50" s="15"/>
      <c r="G50" s="15"/>
      <c r="H50" s="15"/>
      <c r="I50" s="15"/>
      <c r="J50" s="4"/>
      <c r="K50" s="4"/>
      <c r="L50" s="4"/>
      <c r="M50" s="4"/>
      <c r="N50" s="4"/>
      <c r="O50" s="4"/>
      <c r="P50" s="4"/>
      <c r="Q50" s="4"/>
    </row>
    <row r="51" spans="1:17" ht="15" x14ac:dyDescent="0.3">
      <c r="A51" s="15">
        <v>1</v>
      </c>
      <c r="B51" s="9">
        <v>30.46</v>
      </c>
      <c r="C51" s="9">
        <v>33.130000000000003</v>
      </c>
      <c r="D51" s="9">
        <v>35.520000000000003</v>
      </c>
      <c r="E51" s="9">
        <v>31.08</v>
      </c>
      <c r="F51" s="9">
        <v>29.95</v>
      </c>
      <c r="G51" s="9">
        <v>28.36</v>
      </c>
      <c r="H51" s="15"/>
      <c r="I51" s="15"/>
      <c r="J51" s="4"/>
      <c r="K51" s="4"/>
      <c r="L51" s="7">
        <f>AVERAGE(B51:G64)</f>
        <v>30.381707317073179</v>
      </c>
      <c r="M51" s="4"/>
      <c r="N51" s="4"/>
      <c r="O51" s="4"/>
      <c r="P51" s="4"/>
      <c r="Q51" s="4"/>
    </row>
    <row r="52" spans="1:17" x14ac:dyDescent="0.3">
      <c r="A52" s="15">
        <v>2</v>
      </c>
      <c r="B52" s="9">
        <v>28.88</v>
      </c>
      <c r="C52" s="9">
        <v>30.08</v>
      </c>
      <c r="D52" s="9">
        <v>34.11</v>
      </c>
      <c r="E52" s="9">
        <v>29.52</v>
      </c>
      <c r="F52" s="9">
        <v>28.11</v>
      </c>
      <c r="G52" s="9">
        <v>30.32</v>
      </c>
      <c r="H52" s="15"/>
      <c r="I52" s="15"/>
      <c r="J52" s="4"/>
      <c r="K52" s="4"/>
      <c r="L52" s="4"/>
      <c r="M52" s="4"/>
      <c r="N52" s="4"/>
      <c r="O52" s="4"/>
      <c r="P52" s="4"/>
      <c r="Q52" s="4"/>
    </row>
    <row r="53" spans="1:17" x14ac:dyDescent="0.3">
      <c r="A53" s="15">
        <v>3</v>
      </c>
      <c r="B53" s="9">
        <v>33.549999999999997</v>
      </c>
      <c r="C53" s="9">
        <v>30.2</v>
      </c>
      <c r="D53" s="9">
        <v>33.15</v>
      </c>
      <c r="E53" s="9">
        <v>29.56</v>
      </c>
      <c r="F53" s="9">
        <v>30.4</v>
      </c>
      <c r="G53" s="9">
        <v>25.65</v>
      </c>
      <c r="H53" s="15"/>
      <c r="I53" s="15"/>
      <c r="J53" s="4"/>
      <c r="K53" s="4"/>
      <c r="L53" s="4"/>
      <c r="M53" s="4"/>
      <c r="N53" s="4"/>
      <c r="O53" s="4"/>
      <c r="P53" s="4"/>
      <c r="Q53" s="4"/>
    </row>
    <row r="54" spans="1:17" x14ac:dyDescent="0.3">
      <c r="A54" s="15">
        <v>4</v>
      </c>
      <c r="B54" s="9">
        <v>28.07</v>
      </c>
      <c r="C54" s="9">
        <v>33.57</v>
      </c>
      <c r="D54" s="9">
        <v>31.56</v>
      </c>
      <c r="E54" s="9">
        <v>29.38</v>
      </c>
      <c r="F54" s="9">
        <v>28.13</v>
      </c>
      <c r="G54" s="9">
        <v>25.48</v>
      </c>
      <c r="H54" s="15"/>
      <c r="I54" s="15"/>
      <c r="J54" s="4"/>
      <c r="K54" s="4"/>
      <c r="L54" s="4"/>
      <c r="M54" s="4"/>
      <c r="N54" s="4"/>
      <c r="O54" s="4"/>
      <c r="P54" s="4"/>
      <c r="Q54" s="4"/>
    </row>
    <row r="55" spans="1:17" x14ac:dyDescent="0.3">
      <c r="A55" s="15">
        <v>5</v>
      </c>
      <c r="B55" s="9">
        <v>28.81</v>
      </c>
      <c r="C55" s="9">
        <v>34.86</v>
      </c>
      <c r="D55" s="9">
        <v>30.28</v>
      </c>
      <c r="E55" s="9">
        <v>30.56</v>
      </c>
      <c r="F55" s="9">
        <v>30.37</v>
      </c>
      <c r="G55" s="9">
        <v>30.26</v>
      </c>
      <c r="H55" s="15"/>
      <c r="I55" s="15"/>
      <c r="J55" s="4"/>
      <c r="K55" s="4"/>
      <c r="L55" s="4"/>
      <c r="M55" s="4"/>
      <c r="N55" s="4"/>
      <c r="O55" s="4"/>
      <c r="P55" s="4"/>
      <c r="Q55" s="4"/>
    </row>
    <row r="56" spans="1:17" x14ac:dyDescent="0.3">
      <c r="A56" s="15">
        <v>6</v>
      </c>
      <c r="B56" s="9">
        <v>30.28</v>
      </c>
      <c r="C56" s="9">
        <v>33.28</v>
      </c>
      <c r="D56" s="9">
        <v>31.43</v>
      </c>
      <c r="E56" s="9">
        <v>31.51</v>
      </c>
      <c r="F56" s="9">
        <v>29.5</v>
      </c>
      <c r="G56" s="9">
        <v>28.86</v>
      </c>
      <c r="H56" s="15"/>
      <c r="I56" s="15"/>
      <c r="J56" s="4"/>
      <c r="K56" s="4"/>
      <c r="L56" s="4"/>
      <c r="M56" s="4"/>
      <c r="N56" s="4"/>
      <c r="O56" s="4"/>
      <c r="P56" s="4"/>
      <c r="Q56" s="4"/>
    </row>
    <row r="57" spans="1:17" x14ac:dyDescent="0.3">
      <c r="A57" s="15">
        <v>7</v>
      </c>
      <c r="B57" s="9">
        <v>29.31</v>
      </c>
      <c r="C57" s="9">
        <v>32.82</v>
      </c>
      <c r="D57" s="9">
        <v>29.03</v>
      </c>
      <c r="E57" s="9">
        <v>32.14</v>
      </c>
      <c r="F57" s="9">
        <v>30.79</v>
      </c>
      <c r="G57" s="9">
        <v>32.04</v>
      </c>
      <c r="H57" s="15"/>
      <c r="I57" s="15"/>
      <c r="J57" s="4"/>
      <c r="K57" s="4"/>
      <c r="L57" s="4"/>
      <c r="M57" s="4"/>
      <c r="N57" s="4"/>
      <c r="O57" s="4"/>
      <c r="P57" s="4"/>
      <c r="Q57" s="4"/>
    </row>
    <row r="58" spans="1:17" x14ac:dyDescent="0.3">
      <c r="A58" s="15">
        <v>8</v>
      </c>
      <c r="B58" s="9">
        <v>20.3</v>
      </c>
      <c r="C58" s="9">
        <v>28.52</v>
      </c>
      <c r="D58" s="9">
        <v>24.02</v>
      </c>
      <c r="E58" s="9">
        <v>30.13</v>
      </c>
      <c r="F58" s="9">
        <v>35.159999999999997</v>
      </c>
      <c r="G58" s="9">
        <v>34.229999999999997</v>
      </c>
      <c r="H58" s="15"/>
      <c r="I58" s="15"/>
      <c r="J58" s="4"/>
      <c r="K58" s="4"/>
      <c r="L58" s="4"/>
      <c r="M58" s="4"/>
      <c r="N58" s="4"/>
      <c r="O58" s="4"/>
      <c r="P58" s="4"/>
      <c r="Q58" s="4"/>
    </row>
    <row r="59" spans="1:17" x14ac:dyDescent="0.3">
      <c r="A59" s="15">
        <v>9</v>
      </c>
      <c r="B59" s="9">
        <v>30.3</v>
      </c>
      <c r="C59" s="9">
        <v>32.9</v>
      </c>
      <c r="D59" s="9">
        <v>31.02</v>
      </c>
      <c r="E59" s="9">
        <v>34.97</v>
      </c>
      <c r="F59" s="9">
        <v>33.93</v>
      </c>
      <c r="G59" s="9">
        <v>32.979999999999997</v>
      </c>
      <c r="H59" s="15"/>
      <c r="I59" s="15"/>
      <c r="J59" s="4"/>
      <c r="K59" s="4"/>
      <c r="L59" s="4"/>
      <c r="M59" s="4"/>
      <c r="N59" s="4"/>
      <c r="O59" s="4"/>
      <c r="P59" s="4"/>
      <c r="Q59" s="4"/>
    </row>
    <row r="60" spans="1:17" x14ac:dyDescent="0.3">
      <c r="A60" s="15">
        <v>10</v>
      </c>
      <c r="B60" s="9">
        <v>32.909999999999997</v>
      </c>
      <c r="C60" s="9">
        <v>35.78</v>
      </c>
      <c r="D60" s="9">
        <v>30.44</v>
      </c>
      <c r="E60" s="9">
        <v>32.409999999999997</v>
      </c>
      <c r="F60" s="9">
        <v>32.86</v>
      </c>
      <c r="G60" s="9">
        <v>25.96</v>
      </c>
      <c r="H60" s="15"/>
      <c r="I60" s="15"/>
      <c r="J60" s="4"/>
      <c r="K60" s="4"/>
      <c r="L60" s="4"/>
      <c r="M60" s="4"/>
      <c r="N60" s="4"/>
      <c r="O60" s="4"/>
      <c r="P60" s="4"/>
      <c r="Q60" s="4"/>
    </row>
    <row r="61" spans="1:17" x14ac:dyDescent="0.3">
      <c r="A61" s="15">
        <v>11</v>
      </c>
      <c r="B61" s="9">
        <v>33.299999999999997</v>
      </c>
      <c r="C61" s="9">
        <v>28.66</v>
      </c>
      <c r="D61" s="9">
        <v>28.56</v>
      </c>
      <c r="E61" s="9">
        <v>27.59</v>
      </c>
      <c r="F61" s="9">
        <v>33.35</v>
      </c>
      <c r="G61" s="9">
        <v>30.88</v>
      </c>
      <c r="H61" s="15"/>
      <c r="I61" s="15"/>
      <c r="J61" s="4"/>
      <c r="K61" s="4"/>
      <c r="L61" s="4"/>
      <c r="M61" s="4"/>
      <c r="N61" s="4"/>
      <c r="O61" s="4"/>
      <c r="P61" s="4"/>
      <c r="Q61" s="4"/>
    </row>
    <row r="62" spans="1:17" x14ac:dyDescent="0.3">
      <c r="A62" s="15">
        <v>12</v>
      </c>
      <c r="B62" s="9">
        <v>29.98</v>
      </c>
      <c r="C62" s="9">
        <v>29.3</v>
      </c>
      <c r="D62" s="9">
        <v>33.97</v>
      </c>
      <c r="E62" s="9">
        <v>33.76</v>
      </c>
      <c r="F62" s="9">
        <v>27.15</v>
      </c>
      <c r="G62" s="9">
        <v>32.01</v>
      </c>
      <c r="H62" s="15"/>
      <c r="I62" s="15"/>
      <c r="J62" s="4"/>
      <c r="K62" s="4"/>
      <c r="L62" s="4"/>
      <c r="M62" s="4"/>
      <c r="N62" s="4"/>
      <c r="O62" s="4"/>
      <c r="P62" s="4"/>
      <c r="Q62" s="4"/>
    </row>
    <row r="63" spans="1:17" x14ac:dyDescent="0.3">
      <c r="A63" s="15" t="s">
        <v>42</v>
      </c>
      <c r="B63" s="9">
        <v>29.27</v>
      </c>
      <c r="C63" s="9">
        <v>32.11</v>
      </c>
      <c r="D63" s="9">
        <v>29.75</v>
      </c>
      <c r="E63" s="9">
        <v>23.05</v>
      </c>
      <c r="F63" s="9">
        <v>26.69</v>
      </c>
      <c r="G63" s="9">
        <v>25.3</v>
      </c>
      <c r="H63" s="15"/>
      <c r="I63" s="15"/>
      <c r="J63" s="4"/>
      <c r="K63" s="4"/>
      <c r="L63" s="4"/>
      <c r="M63" s="4"/>
      <c r="N63" s="4"/>
      <c r="O63" s="4"/>
      <c r="P63" s="4"/>
      <c r="Q63" s="4"/>
    </row>
    <row r="64" spans="1:17" x14ac:dyDescent="0.3">
      <c r="A64" s="15" t="s">
        <v>44</v>
      </c>
      <c r="B64" s="9">
        <v>30.2</v>
      </c>
      <c r="C64" s="9">
        <v>23.52</v>
      </c>
      <c r="D64" s="9">
        <v>29.34</v>
      </c>
      <c r="E64" s="9">
        <v>30.39</v>
      </c>
      <c r="F64" s="15"/>
      <c r="G64" s="15"/>
      <c r="H64" s="15"/>
      <c r="I64" s="15"/>
      <c r="J64" s="4"/>
      <c r="K64" s="4"/>
      <c r="L64" s="4"/>
      <c r="M64" s="4"/>
      <c r="N64" s="4"/>
      <c r="O64" s="4"/>
      <c r="P64" s="4"/>
      <c r="Q64" s="4"/>
    </row>
    <row r="65" spans="1:17" x14ac:dyDescent="0.3">
      <c r="A65" s="15" t="s">
        <v>43</v>
      </c>
      <c r="B65" s="9">
        <v>32.18</v>
      </c>
      <c r="C65" s="9">
        <v>33.479999999999997</v>
      </c>
      <c r="D65" s="9">
        <v>23.75</v>
      </c>
      <c r="E65" s="9">
        <v>29.99</v>
      </c>
      <c r="F65" s="9">
        <v>26.9</v>
      </c>
      <c r="G65" s="9">
        <v>32.71</v>
      </c>
      <c r="H65" s="9">
        <v>29.19</v>
      </c>
      <c r="I65" s="9">
        <v>29.94</v>
      </c>
      <c r="J65" s="4"/>
      <c r="K65" s="4"/>
      <c r="L65" s="6">
        <f>AVERAGE(B65:I65)</f>
        <v>29.767499999999998</v>
      </c>
      <c r="M65" s="4"/>
      <c r="N65" s="4"/>
      <c r="O65" s="4"/>
      <c r="P65" s="4"/>
      <c r="Q65" s="4"/>
    </row>
    <row r="66" spans="1:17" x14ac:dyDescent="0.3">
      <c r="A66" s="15" t="s">
        <v>98</v>
      </c>
      <c r="B66" s="15"/>
      <c r="C66" s="15"/>
      <c r="D66" s="15"/>
      <c r="E66" s="15"/>
      <c r="F66" s="15"/>
      <c r="G66" s="15"/>
      <c r="H66" s="15"/>
      <c r="I66" s="15"/>
      <c r="J66" s="4"/>
      <c r="K66" s="4"/>
      <c r="L66" s="4"/>
      <c r="M66" s="4"/>
      <c r="N66" s="4"/>
      <c r="O66" s="4"/>
      <c r="P66" s="4"/>
      <c r="Q66" s="4"/>
    </row>
    <row r="67" spans="1:17" x14ac:dyDescent="0.3">
      <c r="A67" s="15">
        <v>1</v>
      </c>
      <c r="B67" s="9">
        <v>30.3</v>
      </c>
      <c r="C67" s="9">
        <v>31.77</v>
      </c>
      <c r="D67" s="9">
        <v>35.590000000000003</v>
      </c>
      <c r="E67" s="9">
        <v>32.08</v>
      </c>
      <c r="F67" s="9">
        <v>28.57</v>
      </c>
      <c r="G67" s="9">
        <v>32.67</v>
      </c>
      <c r="H67" s="15"/>
      <c r="I67" s="15"/>
      <c r="J67" s="4"/>
      <c r="K67" s="4"/>
      <c r="L67" s="6">
        <f>AVERAGE(B67:G67)</f>
        <v>31.830000000000002</v>
      </c>
      <c r="M67" s="4"/>
      <c r="N67" s="6">
        <f>AVERAGE(L67:L80)</f>
        <v>31.267095238095241</v>
      </c>
      <c r="O67" s="4"/>
      <c r="P67" s="4"/>
      <c r="Q67" s="4"/>
    </row>
    <row r="68" spans="1:17" x14ac:dyDescent="0.3">
      <c r="A68" s="15">
        <v>2</v>
      </c>
      <c r="B68" s="9">
        <v>30.21</v>
      </c>
      <c r="C68" s="9">
        <v>29.03</v>
      </c>
      <c r="D68" s="9">
        <v>29.58</v>
      </c>
      <c r="E68" s="9">
        <v>30.14</v>
      </c>
      <c r="F68" s="9">
        <v>28.52</v>
      </c>
      <c r="G68" s="9">
        <v>34.99</v>
      </c>
      <c r="H68" s="15"/>
      <c r="I68" s="15"/>
      <c r="J68" s="4"/>
      <c r="K68" s="4"/>
      <c r="L68" s="6">
        <f>AVERAGE(B68:G68)</f>
        <v>30.411666666666665</v>
      </c>
      <c r="M68" s="4"/>
      <c r="N68" s="4"/>
      <c r="O68" s="4"/>
      <c r="P68" s="4"/>
      <c r="Q68" s="4"/>
    </row>
    <row r="69" spans="1:17" x14ac:dyDescent="0.3">
      <c r="A69" s="15">
        <v>3</v>
      </c>
      <c r="B69" s="9">
        <v>26.51</v>
      </c>
      <c r="C69" s="9">
        <v>28.91</v>
      </c>
      <c r="D69" s="9">
        <v>29.56</v>
      </c>
      <c r="E69" s="9">
        <v>30.23</v>
      </c>
      <c r="F69" s="9">
        <v>29.99</v>
      </c>
      <c r="G69" s="9">
        <v>25.44</v>
      </c>
      <c r="H69" s="15"/>
      <c r="I69" s="15"/>
      <c r="J69" s="4"/>
      <c r="K69" s="4"/>
      <c r="L69" s="6">
        <f>AVERAGE(C69:F69)</f>
        <v>29.672499999999999</v>
      </c>
      <c r="M69" s="4"/>
      <c r="N69" s="4"/>
      <c r="O69" s="4"/>
      <c r="P69" s="4"/>
      <c r="Q69" s="4"/>
    </row>
    <row r="70" spans="1:17" x14ac:dyDescent="0.3">
      <c r="A70" s="15">
        <v>4</v>
      </c>
      <c r="B70" s="9">
        <v>24.95</v>
      </c>
      <c r="C70" s="9">
        <v>32.26</v>
      </c>
      <c r="D70" s="9">
        <v>31.22</v>
      </c>
      <c r="E70" s="9">
        <v>28.98</v>
      </c>
      <c r="F70" s="9">
        <v>34.840000000000003</v>
      </c>
      <c r="G70" s="9">
        <v>28.94</v>
      </c>
      <c r="H70" s="15"/>
      <c r="I70" s="15"/>
      <c r="J70" s="4"/>
      <c r="K70" s="4"/>
      <c r="L70" s="6">
        <f>AVERAGE(C70:G70)</f>
        <v>31.248000000000001</v>
      </c>
      <c r="M70" s="4"/>
      <c r="N70" s="4"/>
      <c r="O70" s="4"/>
      <c r="P70" s="4"/>
      <c r="Q70" s="4"/>
    </row>
    <row r="71" spans="1:17" x14ac:dyDescent="0.3">
      <c r="A71" s="15">
        <v>5</v>
      </c>
      <c r="B71" s="9">
        <v>30.23</v>
      </c>
      <c r="C71" s="9">
        <v>30.3</v>
      </c>
      <c r="D71" s="9">
        <v>28.27</v>
      </c>
      <c r="E71" s="9">
        <v>29.87</v>
      </c>
      <c r="F71" s="9">
        <v>33.33</v>
      </c>
      <c r="G71" s="9">
        <v>29.66</v>
      </c>
      <c r="H71" s="15"/>
      <c r="I71" s="15"/>
      <c r="J71" s="4"/>
      <c r="K71" s="4"/>
      <c r="L71" s="6">
        <f>AVERAGE(B71:G71)</f>
        <v>30.276666666666667</v>
      </c>
      <c r="M71" s="4"/>
      <c r="N71" s="4"/>
      <c r="O71" s="4"/>
      <c r="P71" s="4"/>
      <c r="Q71" s="4"/>
    </row>
    <row r="72" spans="1:17" x14ac:dyDescent="0.3">
      <c r="A72" s="15">
        <v>6</v>
      </c>
      <c r="B72" s="9">
        <v>31.96</v>
      </c>
      <c r="C72" s="9">
        <v>30.9</v>
      </c>
      <c r="D72" s="9">
        <v>28.66</v>
      </c>
      <c r="E72" s="9">
        <v>26.38</v>
      </c>
      <c r="F72" s="9">
        <v>29.61</v>
      </c>
      <c r="G72" s="9">
        <v>31.98</v>
      </c>
      <c r="H72" s="15"/>
      <c r="I72" s="15"/>
      <c r="J72" s="4"/>
      <c r="K72" s="4"/>
      <c r="L72" s="6">
        <f>AVERAGE(B72:D72,F72:G72)</f>
        <v>30.621999999999996</v>
      </c>
      <c r="M72" s="4"/>
      <c r="N72" s="4"/>
      <c r="O72" s="4"/>
      <c r="P72" s="4"/>
      <c r="Q72" s="4"/>
    </row>
    <row r="73" spans="1:17" x14ac:dyDescent="0.3">
      <c r="A73" s="15">
        <v>7</v>
      </c>
      <c r="B73" s="9">
        <v>31.78</v>
      </c>
      <c r="C73" s="9">
        <v>27.42</v>
      </c>
      <c r="D73" s="9">
        <v>32.979999999999997</v>
      </c>
      <c r="E73" s="9">
        <v>31.03</v>
      </c>
      <c r="F73" s="9">
        <v>30.66</v>
      </c>
      <c r="G73" s="9">
        <v>33.03</v>
      </c>
      <c r="H73" s="15"/>
      <c r="I73" s="15"/>
      <c r="J73" s="4"/>
      <c r="K73" s="4"/>
      <c r="L73" s="6">
        <f>AVERAGE(B73:G73)</f>
        <v>31.150000000000002</v>
      </c>
      <c r="M73" s="4"/>
      <c r="N73" s="4"/>
      <c r="O73" s="4"/>
      <c r="P73" s="4"/>
      <c r="Q73" s="4"/>
    </row>
    <row r="74" spans="1:17" x14ac:dyDescent="0.3">
      <c r="A74" s="15">
        <v>8</v>
      </c>
      <c r="B74" s="9">
        <v>34.36</v>
      </c>
      <c r="C74" s="9">
        <v>20.69</v>
      </c>
      <c r="D74" s="9">
        <v>31.21</v>
      </c>
      <c r="E74" s="9">
        <v>28.89</v>
      </c>
      <c r="F74" s="9">
        <v>23.96</v>
      </c>
      <c r="G74" s="9">
        <v>35.130000000000003</v>
      </c>
      <c r="H74" s="15"/>
      <c r="I74" s="15"/>
      <c r="J74" s="4"/>
      <c r="K74" s="4"/>
      <c r="L74" s="6">
        <f>AVERAGE(B74,D74:E74,G74)</f>
        <v>32.397500000000001</v>
      </c>
      <c r="M74" s="4"/>
      <c r="N74" s="4"/>
      <c r="O74" s="4"/>
      <c r="P74" s="4"/>
      <c r="Q74" s="4"/>
    </row>
    <row r="75" spans="1:17" x14ac:dyDescent="0.3">
      <c r="A75" s="15">
        <v>9</v>
      </c>
      <c r="B75" s="9">
        <v>34.479999999999997</v>
      </c>
      <c r="C75" s="9">
        <v>32.43</v>
      </c>
      <c r="D75" s="9">
        <v>31.14</v>
      </c>
      <c r="E75" s="9">
        <v>29.55</v>
      </c>
      <c r="F75" s="9">
        <v>32.67</v>
      </c>
      <c r="G75" s="9">
        <v>34.43</v>
      </c>
      <c r="H75" s="15"/>
      <c r="I75" s="15"/>
      <c r="J75" s="4"/>
      <c r="K75" s="4"/>
      <c r="L75" s="6">
        <f>AVERAGE(B75:G75)</f>
        <v>32.449999999999996</v>
      </c>
      <c r="M75" s="4"/>
      <c r="N75" s="4"/>
      <c r="O75" s="4"/>
      <c r="P75" s="4"/>
      <c r="Q75" s="4"/>
    </row>
    <row r="76" spans="1:17" x14ac:dyDescent="0.3">
      <c r="A76" s="15">
        <v>10</v>
      </c>
      <c r="B76" s="9">
        <v>33.869999999999997</v>
      </c>
      <c r="C76" s="9">
        <v>32.32</v>
      </c>
      <c r="D76" s="9">
        <v>33.78</v>
      </c>
      <c r="E76" s="9">
        <v>27.59</v>
      </c>
      <c r="F76" s="9">
        <v>36.94</v>
      </c>
      <c r="G76" s="9">
        <v>30.83</v>
      </c>
      <c r="H76" s="15"/>
      <c r="I76" s="15"/>
      <c r="J76" s="4"/>
      <c r="K76" s="4"/>
      <c r="L76" s="6">
        <f>AVERAGE(B76:G76)</f>
        <v>32.555</v>
      </c>
      <c r="M76" s="4"/>
      <c r="N76" s="4"/>
      <c r="O76" s="4"/>
      <c r="P76" s="4"/>
      <c r="Q76" s="4"/>
    </row>
    <row r="77" spans="1:17" x14ac:dyDescent="0.3">
      <c r="A77" s="15">
        <v>11</v>
      </c>
      <c r="B77" s="9">
        <v>27.78</v>
      </c>
      <c r="C77" s="9">
        <v>29.31</v>
      </c>
      <c r="D77" s="9">
        <v>33.33</v>
      </c>
      <c r="E77" s="9">
        <v>33.380000000000003</v>
      </c>
      <c r="F77" s="9">
        <v>27.42</v>
      </c>
      <c r="G77" s="9">
        <v>31.13</v>
      </c>
      <c r="H77" s="15"/>
      <c r="I77" s="15"/>
      <c r="J77" s="4"/>
      <c r="K77" s="4"/>
      <c r="L77" s="6">
        <f>AVERAGE(B77:E77,G77)</f>
        <v>30.986000000000001</v>
      </c>
      <c r="M77" s="4"/>
      <c r="N77" s="4"/>
      <c r="O77" s="4"/>
      <c r="P77" s="4"/>
      <c r="Q77" s="4"/>
    </row>
    <row r="78" spans="1:17" x14ac:dyDescent="0.3">
      <c r="A78" s="15">
        <v>12</v>
      </c>
      <c r="B78" s="9">
        <v>32.479999999999997</v>
      </c>
      <c r="C78" s="9">
        <v>29.17</v>
      </c>
      <c r="D78" s="9">
        <v>26.36</v>
      </c>
      <c r="E78" s="9">
        <v>26.2</v>
      </c>
      <c r="F78" s="9">
        <v>32.36</v>
      </c>
      <c r="G78" s="9">
        <v>32.65</v>
      </c>
      <c r="H78" s="15"/>
      <c r="I78" s="15"/>
      <c r="J78" s="4"/>
      <c r="K78" s="4"/>
      <c r="L78" s="6">
        <f>AVERAGE(B78:C78,F78:G78)</f>
        <v>31.664999999999999</v>
      </c>
      <c r="M78" s="4"/>
      <c r="N78" s="4"/>
      <c r="O78" s="4"/>
      <c r="P78" s="4"/>
      <c r="Q78" s="4"/>
    </row>
    <row r="79" spans="1:17" x14ac:dyDescent="0.3">
      <c r="A79" s="15" t="s">
        <v>42</v>
      </c>
      <c r="B79" s="9">
        <v>27.99</v>
      </c>
      <c r="C79" s="9">
        <v>24.9</v>
      </c>
      <c r="D79" s="9">
        <v>21.64</v>
      </c>
      <c r="E79" s="9">
        <v>30.93</v>
      </c>
      <c r="F79" s="9">
        <v>24.25</v>
      </c>
      <c r="G79" s="9">
        <v>30.65</v>
      </c>
      <c r="H79" s="15"/>
      <c r="I79" s="15"/>
      <c r="J79" s="4"/>
      <c r="K79" s="4"/>
      <c r="L79" s="6">
        <f>AVERAGE(B78:C78,F78:G78)</f>
        <v>31.664999999999999</v>
      </c>
      <c r="M79" s="4"/>
      <c r="N79" s="4"/>
      <c r="O79" s="4"/>
      <c r="P79" s="4"/>
      <c r="Q79" s="4"/>
    </row>
    <row r="80" spans="1:17" x14ac:dyDescent="0.3">
      <c r="A80" s="15" t="s">
        <v>44</v>
      </c>
      <c r="B80" s="9">
        <v>31.27</v>
      </c>
      <c r="C80" s="9">
        <v>30.17</v>
      </c>
      <c r="D80" s="9">
        <v>30.99</v>
      </c>
      <c r="E80" s="9">
        <v>21.64</v>
      </c>
      <c r="F80" s="15"/>
      <c r="G80" s="15"/>
      <c r="H80" s="15"/>
      <c r="I80" s="15"/>
      <c r="J80" s="4"/>
      <c r="K80" s="4"/>
      <c r="L80" s="6">
        <f>AVERAGE(B80:D80)</f>
        <v>30.81</v>
      </c>
      <c r="M80" s="4"/>
      <c r="N80" s="4"/>
      <c r="O80" s="4"/>
      <c r="P80" s="4"/>
      <c r="Q80" s="4"/>
    </row>
    <row r="81" spans="1:17" x14ac:dyDescent="0.3">
      <c r="A81" s="15" t="s">
        <v>43</v>
      </c>
      <c r="B81" s="9">
        <v>32.549999999999997</v>
      </c>
      <c r="C81" s="9">
        <v>35.880000000000003</v>
      </c>
      <c r="D81" s="9">
        <v>35.659999999999997</v>
      </c>
      <c r="E81" s="9">
        <v>26.62</v>
      </c>
      <c r="F81" s="9">
        <v>31.76</v>
      </c>
      <c r="G81" s="9">
        <v>33.17</v>
      </c>
      <c r="H81" s="9">
        <v>30.23</v>
      </c>
      <c r="I81" s="9">
        <v>25.03</v>
      </c>
      <c r="J81" s="4"/>
      <c r="K81" s="4"/>
      <c r="L81" s="6">
        <f>AVERAGE(B81:D81,F81:H81)</f>
        <v>33.208333333333329</v>
      </c>
      <c r="M81" s="4"/>
      <c r="N81" s="4"/>
      <c r="O81" s="4"/>
      <c r="P81" s="4"/>
      <c r="Q81" s="4"/>
    </row>
    <row r="82" spans="1:17" x14ac:dyDescent="0.3">
      <c r="A82" s="15" t="s">
        <v>89</v>
      </c>
      <c r="B82" s="15"/>
      <c r="C82" s="15"/>
      <c r="D82" s="15"/>
      <c r="E82" s="15"/>
      <c r="F82" s="15"/>
      <c r="G82" s="15"/>
      <c r="H82" s="15"/>
      <c r="I82" s="15"/>
      <c r="J82" s="4"/>
      <c r="K82" s="4"/>
      <c r="L82" s="4"/>
      <c r="M82" s="4"/>
      <c r="N82" s="4"/>
      <c r="O82" s="4" t="s">
        <v>3</v>
      </c>
      <c r="P82" s="4" t="s">
        <v>4</v>
      </c>
      <c r="Q82" s="4"/>
    </row>
    <row r="83" spans="1:17" x14ac:dyDescent="0.3">
      <c r="A83" s="15" t="s">
        <v>0</v>
      </c>
      <c r="B83" s="9">
        <v>29.23</v>
      </c>
      <c r="C83" s="9">
        <v>37.6</v>
      </c>
      <c r="D83" s="9">
        <v>32.89</v>
      </c>
      <c r="E83" s="9">
        <v>33.020000000000003</v>
      </c>
      <c r="F83" s="9">
        <v>29.87</v>
      </c>
      <c r="G83" s="9">
        <v>26.09</v>
      </c>
      <c r="H83" s="9">
        <v>34.47</v>
      </c>
      <c r="I83" s="9">
        <v>38.53</v>
      </c>
      <c r="J83" s="4"/>
      <c r="K83" s="4"/>
      <c r="L83" s="13">
        <f>AVERAGE(B83:I83)</f>
        <v>32.712500000000006</v>
      </c>
      <c r="M83" s="13">
        <f>STDEV(D83,E83,F83,H83)</f>
        <v>1.9325867811476578</v>
      </c>
      <c r="N83" s="4"/>
      <c r="O83" s="13">
        <f>AVERAGE(B83:I83)</f>
        <v>32.712500000000006</v>
      </c>
      <c r="P83" s="13">
        <f>STDEV(B83:I83)</f>
        <v>4.2259563583710689</v>
      </c>
      <c r="Q83" s="4"/>
    </row>
    <row r="84" spans="1:17" x14ac:dyDescent="0.3">
      <c r="A84" s="15" t="s">
        <v>2</v>
      </c>
      <c r="B84" s="9">
        <v>29.78</v>
      </c>
      <c r="C84" s="9">
        <v>31.89</v>
      </c>
      <c r="D84" s="9">
        <v>30.46</v>
      </c>
      <c r="E84" s="9">
        <v>22.88</v>
      </c>
      <c r="F84" s="9">
        <v>23.27</v>
      </c>
      <c r="G84" s="15"/>
      <c r="H84" s="15"/>
      <c r="I84" s="15"/>
      <c r="J84" s="6"/>
      <c r="K84" s="4"/>
      <c r="L84" s="13">
        <f>AVERAGE(B84:F85)</f>
        <v>27.017999999999994</v>
      </c>
      <c r="M84" s="13">
        <f>STDEV(B84,B85,C84,D84,D85,E85,F85)</f>
        <v>2.2508961178458087</v>
      </c>
      <c r="N84" s="4"/>
      <c r="O84" s="13">
        <f>AVERAGE(B84,B85,C84,D84,D85,E85,F85,F84)</f>
        <v>28.196250000000003</v>
      </c>
      <c r="P84" s="13">
        <f>STDEV(B84:B85,C84,D84,D85,E85,F85,F84)</f>
        <v>2.8818145945120857</v>
      </c>
      <c r="Q84" s="4"/>
    </row>
    <row r="85" spans="1:17" x14ac:dyDescent="0.3">
      <c r="A85" s="15"/>
      <c r="B85" s="9">
        <v>27.11</v>
      </c>
      <c r="C85" s="9">
        <v>21.73</v>
      </c>
      <c r="D85" s="9">
        <v>30.2</v>
      </c>
      <c r="E85" s="9">
        <v>27.19</v>
      </c>
      <c r="F85" s="9">
        <v>25.67</v>
      </c>
      <c r="G85" s="15"/>
      <c r="H85" s="15"/>
      <c r="I85" s="15"/>
      <c r="J85" s="6"/>
      <c r="K85" s="4"/>
      <c r="L85" s="13"/>
      <c r="M85" s="13"/>
      <c r="N85" s="4"/>
      <c r="O85" s="13"/>
      <c r="P85" s="13"/>
      <c r="Q85" s="4"/>
    </row>
    <row r="86" spans="1:17" x14ac:dyDescent="0.3">
      <c r="A86" s="15" t="s">
        <v>45</v>
      </c>
      <c r="B86" s="9">
        <v>27.3</v>
      </c>
      <c r="C86" s="9">
        <v>24.14</v>
      </c>
      <c r="D86" s="9">
        <v>28.96</v>
      </c>
      <c r="E86" s="9">
        <v>30.9</v>
      </c>
      <c r="F86" s="9">
        <v>22.31</v>
      </c>
      <c r="G86" s="9">
        <v>31.57</v>
      </c>
      <c r="H86" s="15"/>
      <c r="I86" s="15"/>
      <c r="J86" s="6"/>
      <c r="K86" s="6"/>
      <c r="L86" s="13">
        <v>28.42</v>
      </c>
      <c r="M86" s="13">
        <f>STDEV(B86:F87,G86,H87)</f>
        <v>2.6985735569786202</v>
      </c>
      <c r="N86" s="4"/>
      <c r="O86" s="13">
        <f>AVERAGE(B86,B87,C87,D87,D86,E87,F87,H87)</f>
        <v>28.768749999999997</v>
      </c>
      <c r="P86" s="13">
        <f>STDEV(B86,B87,C87,D87,D86,E87,F87,H87)</f>
        <v>1.0510054709657799</v>
      </c>
      <c r="Q86" s="4"/>
    </row>
    <row r="87" spans="1:17" x14ac:dyDescent="0.3">
      <c r="A87" s="15"/>
      <c r="B87" s="9">
        <v>29.16</v>
      </c>
      <c r="C87" s="9">
        <v>28.87</v>
      </c>
      <c r="D87" s="9">
        <v>30.94</v>
      </c>
      <c r="E87" s="9">
        <v>28.4</v>
      </c>
      <c r="F87" s="9">
        <v>28.2</v>
      </c>
      <c r="G87" s="9">
        <v>18.45</v>
      </c>
      <c r="H87" s="9">
        <v>28.32</v>
      </c>
      <c r="I87" s="15"/>
      <c r="J87" s="6"/>
      <c r="K87" s="4"/>
      <c r="L87" s="13"/>
      <c r="M87" s="13"/>
      <c r="N87" s="4"/>
      <c r="O87" s="13"/>
      <c r="P87" s="13"/>
      <c r="Q87" s="4"/>
    </row>
    <row r="88" spans="1:17" x14ac:dyDescent="0.3">
      <c r="A88" s="15" t="s">
        <v>46</v>
      </c>
      <c r="B88" s="9">
        <v>30.52</v>
      </c>
      <c r="C88" s="9">
        <v>32.75</v>
      </c>
      <c r="D88" s="9">
        <v>28.36</v>
      </c>
      <c r="E88" s="9">
        <v>32.67</v>
      </c>
      <c r="F88" s="9">
        <v>28.46</v>
      </c>
      <c r="G88" s="9">
        <v>27.18</v>
      </c>
      <c r="H88" s="15"/>
      <c r="I88" s="15"/>
      <c r="J88" s="4"/>
      <c r="K88" s="4"/>
      <c r="L88" s="13">
        <f>AVERAGE(B88:G89)</f>
        <v>30.85083333333333</v>
      </c>
      <c r="M88" s="13">
        <f>STDEV(B88,B89,C88,D88,D89,E88,F88,F89,G88,G89)</f>
        <v>2.307280505992571</v>
      </c>
      <c r="N88" s="4"/>
      <c r="O88" s="13">
        <f>AVERAGE(B88,B89,C88,D88,E88,F88,F89,G88)</f>
        <v>29.775000000000002</v>
      </c>
      <c r="P88" s="13">
        <f>STDEV(B88,B89,C88,D88,E88,F88,F89,G88)</f>
        <v>2.0794916961329073</v>
      </c>
      <c r="Q88" s="4"/>
    </row>
    <row r="89" spans="1:17" x14ac:dyDescent="0.3">
      <c r="A89" s="15"/>
      <c r="B89" s="9">
        <v>28.36</v>
      </c>
      <c r="C89" s="9">
        <v>39.380000000000003</v>
      </c>
      <c r="D89" s="9">
        <v>33.15</v>
      </c>
      <c r="E89" s="9">
        <v>26.44</v>
      </c>
      <c r="F89" s="9">
        <v>29.9</v>
      </c>
      <c r="G89" s="9">
        <v>33.04</v>
      </c>
      <c r="H89" s="15"/>
      <c r="I89" s="15"/>
      <c r="J89" s="6"/>
      <c r="K89" s="4"/>
      <c r="L89" s="13"/>
      <c r="M89" s="13"/>
      <c r="N89" s="4"/>
      <c r="O89" s="13"/>
      <c r="P89" s="13"/>
      <c r="Q89" s="4"/>
    </row>
    <row r="90" spans="1:17" x14ac:dyDescent="0.3">
      <c r="A90" s="15" t="s">
        <v>47</v>
      </c>
      <c r="B90" s="9">
        <v>34.75</v>
      </c>
      <c r="C90" s="9">
        <v>28.86</v>
      </c>
      <c r="D90" s="9">
        <v>22.62</v>
      </c>
      <c r="E90" s="9">
        <v>28.13</v>
      </c>
      <c r="F90" s="9">
        <v>32.44</v>
      </c>
      <c r="G90" s="9">
        <v>31.62</v>
      </c>
      <c r="H90" s="15"/>
      <c r="I90" s="15"/>
      <c r="J90" s="6"/>
      <c r="K90" s="4"/>
      <c r="L90" s="13">
        <f>AVERAGE(G90,B90:F91)</f>
        <v>29.58</v>
      </c>
      <c r="M90" s="13">
        <f>STDEV(C90,C91,E90,E91,F90,F91,G90,B90,B91)</f>
        <v>2.4090892700585234</v>
      </c>
      <c r="N90" s="4"/>
      <c r="O90" s="13">
        <f>AVERAGE(B91,C91,C90,E90,E91,F90,F91,G90)</f>
        <v>30.408749999999998</v>
      </c>
      <c r="P90" s="13">
        <f>STDEV(B91,C90,C91,E90,E91,F90,F91,G90)</f>
        <v>2.0590319327295528</v>
      </c>
      <c r="Q90" s="4"/>
    </row>
    <row r="91" spans="1:17" x14ac:dyDescent="0.3">
      <c r="A91" s="15"/>
      <c r="B91" s="9">
        <v>30.3</v>
      </c>
      <c r="C91" s="9">
        <v>28.63</v>
      </c>
      <c r="D91" s="9">
        <v>24.74</v>
      </c>
      <c r="E91" s="9">
        <v>29.38</v>
      </c>
      <c r="F91" s="9">
        <v>33.909999999999997</v>
      </c>
      <c r="G91" s="9">
        <v>18.84</v>
      </c>
      <c r="H91" s="15"/>
      <c r="I91" s="15"/>
      <c r="J91" s="6"/>
      <c r="K91" s="4"/>
      <c r="L91" s="4"/>
      <c r="M91" s="4"/>
      <c r="N91" s="4"/>
      <c r="O91" s="4"/>
      <c r="P91" s="4"/>
      <c r="Q91" s="4"/>
    </row>
    <row r="92" spans="1:17" x14ac:dyDescent="0.3">
      <c r="A92" s="15" t="s">
        <v>48</v>
      </c>
      <c r="B92" s="9">
        <v>32.31</v>
      </c>
      <c r="C92" s="9">
        <v>31.46</v>
      </c>
      <c r="D92" s="9">
        <v>33.15</v>
      </c>
      <c r="E92" s="9">
        <v>27.76</v>
      </c>
      <c r="F92" s="15"/>
      <c r="G92" s="15"/>
      <c r="H92" s="15"/>
      <c r="I92" s="15"/>
      <c r="J92" s="4"/>
      <c r="K92" s="4"/>
      <c r="L92" s="6">
        <f>AVERAGE(B92:E92)</f>
        <v>31.17</v>
      </c>
      <c r="M92" s="4"/>
      <c r="N92" s="4"/>
      <c r="O92" s="4"/>
      <c r="P92" s="4"/>
      <c r="Q92" s="4"/>
    </row>
    <row r="93" spans="1:17" x14ac:dyDescent="0.3">
      <c r="A93" s="15" t="s">
        <v>90</v>
      </c>
      <c r="B93" s="15"/>
      <c r="C93" s="15" t="s">
        <v>49</v>
      </c>
      <c r="D93" s="15"/>
      <c r="E93" s="15"/>
      <c r="F93" s="15"/>
      <c r="G93" s="15"/>
      <c r="H93" s="15"/>
      <c r="I93" s="15"/>
      <c r="J93" s="4"/>
      <c r="K93" s="4"/>
      <c r="L93" s="4"/>
      <c r="M93" s="4"/>
      <c r="N93" s="4"/>
      <c r="O93" s="4"/>
      <c r="P93" s="4"/>
      <c r="Q93" s="4"/>
    </row>
    <row r="94" spans="1:17" ht="15" x14ac:dyDescent="0.3">
      <c r="A94" s="15" t="s">
        <v>0</v>
      </c>
      <c r="B94" s="9">
        <v>30.55</v>
      </c>
      <c r="C94" s="9">
        <v>30.78</v>
      </c>
      <c r="D94" s="9">
        <v>33.6</v>
      </c>
      <c r="E94" s="9">
        <v>37.83</v>
      </c>
      <c r="F94" s="9">
        <v>34.299999999999997</v>
      </c>
      <c r="G94" s="9">
        <v>28.49</v>
      </c>
      <c r="H94" s="9">
        <v>38.520000000000003</v>
      </c>
      <c r="I94" s="9">
        <v>33.6</v>
      </c>
      <c r="J94" s="4"/>
      <c r="K94" s="4"/>
      <c r="L94" s="16">
        <f>AVERAGE(B94:I94)</f>
        <v>33.458750000000002</v>
      </c>
      <c r="M94" s="16">
        <f>STDEV(B94,C94,D94,F94,G94,I94)</f>
        <v>2.2910230611381168</v>
      </c>
      <c r="N94" s="13"/>
      <c r="O94" s="6">
        <f>AVERAGE(B94:I94)</f>
        <v>33.458750000000002</v>
      </c>
      <c r="P94" s="4"/>
      <c r="Q94" s="4"/>
    </row>
    <row r="95" spans="1:17" ht="15" x14ac:dyDescent="0.3">
      <c r="A95" s="15" t="s">
        <v>2</v>
      </c>
      <c r="B95" s="9">
        <v>25.65</v>
      </c>
      <c r="C95" s="9">
        <v>24.83</v>
      </c>
      <c r="D95" s="9">
        <v>29.25</v>
      </c>
      <c r="E95" s="9">
        <v>25.72</v>
      </c>
      <c r="F95" s="9">
        <v>20.03</v>
      </c>
      <c r="G95" s="15"/>
      <c r="H95" s="15"/>
      <c r="I95" s="15"/>
      <c r="J95" s="4"/>
      <c r="K95" s="4"/>
      <c r="L95" s="13">
        <f>AVERAGE(B95:F96)</f>
        <v>24.848999999999997</v>
      </c>
      <c r="M95" s="13">
        <f>STDEV(B96,D95,E95,D96,C96,B95,C95,F96)</f>
        <v>2.1486922933329868</v>
      </c>
      <c r="N95" s="13"/>
      <c r="O95" s="16">
        <f>AVERAGE(B95:D96,E95,F96)</f>
        <v>26.037499999999998</v>
      </c>
      <c r="P95" s="16">
        <f>STDEV(B95:D96,E95,F96)</f>
        <v>2.1486922933329868</v>
      </c>
      <c r="Q95" s="4"/>
    </row>
    <row r="96" spans="1:17" ht="15" x14ac:dyDescent="0.3">
      <c r="A96" s="15"/>
      <c r="B96" s="9">
        <v>29.43</v>
      </c>
      <c r="C96" s="9">
        <v>25.11</v>
      </c>
      <c r="D96" s="9">
        <v>24.8</v>
      </c>
      <c r="E96" s="9">
        <v>20.16</v>
      </c>
      <c r="F96" s="9">
        <v>23.51</v>
      </c>
      <c r="G96" s="15"/>
      <c r="H96" s="15"/>
      <c r="I96" s="15"/>
      <c r="J96" s="6"/>
      <c r="K96" s="4"/>
      <c r="L96" s="13"/>
      <c r="M96" s="13"/>
      <c r="N96" s="13"/>
      <c r="O96" s="16"/>
      <c r="P96" s="16"/>
      <c r="Q96" s="4"/>
    </row>
    <row r="97" spans="1:17" ht="15" x14ac:dyDescent="0.3">
      <c r="A97" s="15" t="s">
        <v>45</v>
      </c>
      <c r="B97" s="9">
        <v>26.65</v>
      </c>
      <c r="C97" s="9">
        <v>30.25</v>
      </c>
      <c r="D97" s="9">
        <v>31.07</v>
      </c>
      <c r="E97" s="9">
        <v>22.87</v>
      </c>
      <c r="F97" s="9">
        <v>22.47</v>
      </c>
      <c r="G97" s="9">
        <v>30.8</v>
      </c>
      <c r="H97" s="15"/>
      <c r="I97" s="15"/>
      <c r="J97" s="6"/>
      <c r="K97" s="6"/>
      <c r="L97" s="13">
        <f>AVERAGE(B97:D98,E97:F97,G97,F98:H98)</f>
        <v>26.905000000000001</v>
      </c>
      <c r="M97" s="13">
        <f>STDEV(B97,C97,D97,D98,F98,G98,G97,H98)</f>
        <v>1.7785342078721535</v>
      </c>
      <c r="N97" s="4"/>
      <c r="O97" s="16">
        <f>AVERAGE(B97,C97,D97,D98,F98,G97,G98,H98)</f>
        <v>28.791250000000002</v>
      </c>
      <c r="P97" s="16">
        <f>STDEV(B97,C97,D97,D98,F98,G98,G97,H98)</f>
        <v>1.7785342078721535</v>
      </c>
      <c r="Q97" s="4"/>
    </row>
    <row r="98" spans="1:17" x14ac:dyDescent="0.3">
      <c r="A98" s="15"/>
      <c r="B98" s="9">
        <v>23.88</v>
      </c>
      <c r="C98" s="9">
        <v>23.31</v>
      </c>
      <c r="D98" s="9">
        <v>29.32</v>
      </c>
      <c r="E98" s="9">
        <v>16.64</v>
      </c>
      <c r="F98" s="9">
        <v>27.25</v>
      </c>
      <c r="G98" s="9">
        <v>27.19</v>
      </c>
      <c r="H98" s="9">
        <v>27.8</v>
      </c>
      <c r="I98" s="15"/>
      <c r="J98" s="4"/>
      <c r="K98" s="4"/>
      <c r="L98" s="13"/>
      <c r="M98" s="13"/>
      <c r="N98" s="13"/>
      <c r="O98" s="13"/>
      <c r="P98" s="13"/>
      <c r="Q98" s="4"/>
    </row>
    <row r="99" spans="1:17" ht="15" x14ac:dyDescent="0.3">
      <c r="A99" s="15" t="s">
        <v>46</v>
      </c>
      <c r="B99" s="9">
        <v>28.95</v>
      </c>
      <c r="C99" s="9">
        <v>25.83</v>
      </c>
      <c r="D99" s="9">
        <v>26.41</v>
      </c>
      <c r="E99" s="9">
        <v>25.88</v>
      </c>
      <c r="F99" s="9">
        <v>25.86</v>
      </c>
      <c r="G99" s="9">
        <v>31.1</v>
      </c>
      <c r="H99" s="15"/>
      <c r="I99" s="15"/>
      <c r="J99" s="6"/>
      <c r="K99" s="4"/>
      <c r="L99" s="13">
        <f>AVERAGE(B99:C100,D99:E99,E100,F99:G100)</f>
        <v>28.941818181818181</v>
      </c>
      <c r="M99" s="13">
        <f>STDEV(B100,G99,G100,E100,B99,D99)</f>
        <v>2.450499268856587</v>
      </c>
      <c r="N99" s="13"/>
      <c r="O99" s="16">
        <f>AVERAGE(B99,B100,D99,E99,E100,F99,F100,G99)</f>
        <v>27.922499999999996</v>
      </c>
      <c r="P99" s="16">
        <f>STDEV(B99,B100,D99,E99,E100,F100,G100,G99)</f>
        <v>2.667968729737503</v>
      </c>
      <c r="Q99" s="4"/>
    </row>
    <row r="100" spans="1:17" ht="15" x14ac:dyDescent="0.3">
      <c r="A100" s="15"/>
      <c r="B100" s="9">
        <v>32.32</v>
      </c>
      <c r="C100" s="9">
        <v>37.83</v>
      </c>
      <c r="D100" s="9">
        <v>22.09</v>
      </c>
      <c r="E100" s="9">
        <v>26.98</v>
      </c>
      <c r="F100" s="9">
        <v>25.88</v>
      </c>
      <c r="G100" s="9">
        <v>31.32</v>
      </c>
      <c r="H100" s="15"/>
      <c r="I100" s="15"/>
      <c r="J100" s="4"/>
      <c r="K100" s="4"/>
      <c r="L100" s="13"/>
      <c r="M100" s="13"/>
      <c r="N100" s="13"/>
      <c r="O100" s="16"/>
      <c r="P100" s="16"/>
      <c r="Q100" s="4"/>
    </row>
    <row r="101" spans="1:17" ht="15" x14ac:dyDescent="0.3">
      <c r="A101" s="15" t="s">
        <v>47</v>
      </c>
      <c r="B101" s="9">
        <v>31.56</v>
      </c>
      <c r="C101" s="9">
        <v>25.96</v>
      </c>
      <c r="D101" s="9">
        <v>28.28</v>
      </c>
      <c r="E101" s="9">
        <v>21.83</v>
      </c>
      <c r="F101" s="9">
        <v>33.479999999999997</v>
      </c>
      <c r="G101" s="9">
        <v>26.9</v>
      </c>
      <c r="H101" s="15"/>
      <c r="I101" s="15"/>
      <c r="J101" s="4"/>
      <c r="K101" s="4"/>
      <c r="L101" s="13">
        <f>AVERAGE(B101,C101:G102)</f>
        <v>28.497272727272726</v>
      </c>
      <c r="M101" s="13">
        <f>STDEV(B101,C102,D101,D102,E102,F101)</f>
        <v>2.7039156791586527</v>
      </c>
      <c r="N101" s="13"/>
      <c r="O101" s="16">
        <f>AVERAGE(B99:B100,D99,E99,E100,F100,G101,G101,G100,G99)</f>
        <v>28.263999999999999</v>
      </c>
      <c r="P101" s="16">
        <f>STDEV(B99,B100,D99,E99,E100,F100,G100,G99)</f>
        <v>2.667968729737503</v>
      </c>
      <c r="Q101" s="4"/>
    </row>
    <row r="102" spans="1:17" x14ac:dyDescent="0.3">
      <c r="A102" s="15"/>
      <c r="B102" s="9">
        <v>17.260000000000002</v>
      </c>
      <c r="C102" s="9">
        <v>35.25</v>
      </c>
      <c r="D102" s="9">
        <v>28.65</v>
      </c>
      <c r="E102" s="9">
        <v>31.78</v>
      </c>
      <c r="F102" s="9">
        <v>24.34</v>
      </c>
      <c r="G102" s="9">
        <v>25.44</v>
      </c>
      <c r="H102" s="15"/>
      <c r="I102" s="15"/>
      <c r="J102" s="4"/>
      <c r="K102" s="4"/>
      <c r="L102" s="4"/>
      <c r="M102" s="4"/>
      <c r="N102" s="4"/>
      <c r="O102" s="4"/>
      <c r="P102" s="4"/>
      <c r="Q102" s="4"/>
    </row>
    <row r="103" spans="1:17" x14ac:dyDescent="0.3">
      <c r="A103" s="15" t="s">
        <v>48</v>
      </c>
      <c r="B103" s="9">
        <v>25.12</v>
      </c>
      <c r="C103" s="9">
        <v>36.32</v>
      </c>
      <c r="D103" s="9">
        <v>31.25</v>
      </c>
      <c r="E103" s="9">
        <v>31.44</v>
      </c>
      <c r="F103" s="15"/>
      <c r="G103" s="15"/>
      <c r="H103" s="15"/>
      <c r="I103" s="15"/>
      <c r="J103" s="4"/>
      <c r="K103" s="4"/>
      <c r="L103" s="6">
        <f>AVERAGE(B103:E103)</f>
        <v>31.032499999999999</v>
      </c>
      <c r="M103" s="4"/>
      <c r="N103" s="4"/>
      <c r="O103" s="6">
        <f>AVERAGE(B101,C101,D101,D102,E102,F102,F101,G101)</f>
        <v>28.868749999999999</v>
      </c>
      <c r="P103" s="4">
        <f>STDEV(B101,C101,D101,D102,E102,F102,F101,G101)</f>
        <v>3.1673036640019148</v>
      </c>
      <c r="Q103" s="4"/>
    </row>
    <row r="104" spans="1:17" x14ac:dyDescent="0.3">
      <c r="A104" s="15" t="s">
        <v>50</v>
      </c>
      <c r="B104" s="15"/>
      <c r="C104" s="15"/>
      <c r="D104" s="15"/>
      <c r="E104" s="15"/>
      <c r="F104" s="15"/>
      <c r="G104" s="15"/>
      <c r="H104" s="15"/>
      <c r="I104" s="15"/>
      <c r="J104" s="4"/>
      <c r="K104" s="4"/>
      <c r="L104" s="6" t="e">
        <f>AVERAGE(#REF!,B103,D103,E103)</f>
        <v>#REF!</v>
      </c>
      <c r="M104" s="4"/>
      <c r="N104" s="4"/>
      <c r="O104" s="4"/>
      <c r="P104" s="4"/>
      <c r="Q104" s="4"/>
    </row>
    <row r="105" spans="1:17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7" x14ac:dyDescent="0.3">
      <c r="A106" s="4" t="s">
        <v>91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1:17" ht="15" x14ac:dyDescent="0.3">
      <c r="A107" s="4" t="s">
        <v>0</v>
      </c>
      <c r="B107" s="6">
        <v>35.65</v>
      </c>
      <c r="C107" s="6">
        <v>32.619999999999997</v>
      </c>
      <c r="D107" s="6">
        <v>35.25</v>
      </c>
      <c r="E107" s="6">
        <v>30.15</v>
      </c>
      <c r="F107" s="6">
        <v>34.99</v>
      </c>
      <c r="G107" s="6">
        <v>36.450000000000003</v>
      </c>
      <c r="H107" s="6">
        <v>37.520000000000003</v>
      </c>
      <c r="I107" s="6">
        <v>34.22</v>
      </c>
      <c r="J107" s="4"/>
      <c r="K107" s="4"/>
      <c r="L107" s="13">
        <f>AVERAGE(B107:I107)</f>
        <v>34.606250000000003</v>
      </c>
      <c r="M107" s="13">
        <f>STDEV(B107:I107)</f>
        <v>2.3143338288649238</v>
      </c>
      <c r="N107" s="16">
        <f>AVERAGE(B107:I107)</f>
        <v>34.606250000000003</v>
      </c>
      <c r="O107" s="16">
        <f>STDEV(B107:I107)</f>
        <v>2.3143338288649238</v>
      </c>
      <c r="P107" s="13"/>
      <c r="Q107" s="4"/>
    </row>
    <row r="108" spans="1:17" ht="15" x14ac:dyDescent="0.3">
      <c r="A108" s="4" t="s">
        <v>2</v>
      </c>
      <c r="B108" s="6">
        <v>23.06</v>
      </c>
      <c r="C108" s="6">
        <v>20.86</v>
      </c>
      <c r="D108" s="6">
        <v>29.38</v>
      </c>
      <c r="E108" s="6">
        <v>29.5</v>
      </c>
      <c r="F108" s="6">
        <v>29.24</v>
      </c>
      <c r="G108" s="4"/>
      <c r="H108" s="4"/>
      <c r="I108" s="4"/>
      <c r="J108" s="4"/>
      <c r="K108" s="4"/>
      <c r="L108" s="13">
        <f>AVERAGE(B108:F109)</f>
        <v>25.971999999999998</v>
      </c>
      <c r="M108" s="13">
        <f>STDEV(F108,F109,E108,E109,D108,D109,C109,B108)</f>
        <v>3.1176613831524094</v>
      </c>
      <c r="N108" s="16">
        <f>AVERAGE(B108:B109,D108:D109,E108:E109,F108:F109)</f>
        <v>27.201250000000002</v>
      </c>
      <c r="O108" s="16">
        <f>STDEV(B108:B109,D108:F109)</f>
        <v>2.7398145792318553</v>
      </c>
      <c r="P108" s="13"/>
      <c r="Q108" s="4"/>
    </row>
    <row r="109" spans="1:17" ht="15" x14ac:dyDescent="0.3">
      <c r="A109" s="4"/>
      <c r="B109" s="6">
        <v>30.31</v>
      </c>
      <c r="C109" s="6">
        <v>21.25</v>
      </c>
      <c r="D109" s="6">
        <v>24.86</v>
      </c>
      <c r="E109" s="6">
        <v>24.88</v>
      </c>
      <c r="F109" s="6">
        <v>26.38</v>
      </c>
      <c r="G109" s="4"/>
      <c r="H109" s="4"/>
      <c r="I109" s="4"/>
      <c r="J109" s="6"/>
      <c r="K109" s="4"/>
      <c r="L109" s="13"/>
      <c r="M109" s="13"/>
      <c r="N109" s="16"/>
      <c r="O109" s="16"/>
      <c r="P109" s="13"/>
      <c r="Q109" s="4"/>
    </row>
    <row r="110" spans="1:17" ht="15" x14ac:dyDescent="0.3">
      <c r="A110" s="4" t="s">
        <v>45</v>
      </c>
      <c r="B110" s="6">
        <v>31.02</v>
      </c>
      <c r="C110" s="6">
        <v>25.17</v>
      </c>
      <c r="D110" s="6">
        <v>30.18</v>
      </c>
      <c r="E110" s="6">
        <v>24.22</v>
      </c>
      <c r="F110" s="6">
        <v>24.3</v>
      </c>
      <c r="G110" s="6">
        <v>27.56</v>
      </c>
      <c r="H110" s="6">
        <v>31.42</v>
      </c>
      <c r="I110" s="4"/>
      <c r="J110" s="6"/>
      <c r="K110" s="4"/>
      <c r="L110" s="13">
        <f>AVERAGE(B110:C111,D110,E111,E110,F110,G110,H110)</f>
        <v>27.433</v>
      </c>
      <c r="M110" s="13">
        <f>STDEV(B111,C111,C110,D110,E111,E110,F110,D111,G110,H110)</f>
        <v>2.7291675572517633</v>
      </c>
      <c r="N110" s="16">
        <f>AVERAGE(B110:C110,C112,C111,C111,C112,C111,B111,D110,E111,G110,H110)</f>
        <v>27.974166666666665</v>
      </c>
      <c r="O110" s="16">
        <f>STDEV(B110:C111,D110,E111,G110,H110)</f>
        <v>2.5312782626288128</v>
      </c>
      <c r="P110" s="13"/>
      <c r="Q110" s="4"/>
    </row>
    <row r="111" spans="1:17" ht="15" x14ac:dyDescent="0.3">
      <c r="A111" s="4"/>
      <c r="B111" s="6">
        <v>26.63</v>
      </c>
      <c r="C111" s="6">
        <v>28.82</v>
      </c>
      <c r="D111" s="6">
        <v>23.49</v>
      </c>
      <c r="E111" s="6">
        <v>25.01</v>
      </c>
      <c r="F111" s="6">
        <v>22.76</v>
      </c>
      <c r="G111" s="4"/>
      <c r="H111" s="4"/>
      <c r="I111" s="4"/>
      <c r="J111" s="4"/>
      <c r="K111" s="4"/>
      <c r="L111" s="13"/>
      <c r="M111" s="13"/>
      <c r="N111" s="16"/>
      <c r="O111" s="16"/>
      <c r="P111" s="13"/>
      <c r="Q111" s="4"/>
    </row>
    <row r="112" spans="1:17" ht="15" x14ac:dyDescent="0.3">
      <c r="A112" s="4" t="s">
        <v>46</v>
      </c>
      <c r="B112" s="6">
        <v>31.99</v>
      </c>
      <c r="C112" s="6">
        <v>26.12</v>
      </c>
      <c r="D112" s="6">
        <v>29.12</v>
      </c>
      <c r="E112" s="6">
        <v>23.84</v>
      </c>
      <c r="F112" s="6">
        <v>27.07</v>
      </c>
      <c r="G112" s="4"/>
      <c r="H112" s="4"/>
      <c r="I112" s="4"/>
      <c r="J112" s="4"/>
      <c r="K112" s="4"/>
      <c r="L112" s="13">
        <f>AVERAGE(B113,B112,C112,C113,D112,D113,F112,G113)</f>
        <v>29.081250000000001</v>
      </c>
      <c r="M112" s="13">
        <f>STDEV(B112,B113,C112,C113,D112,D114,D114,D113,F112,G113)</f>
        <v>2.6745319424361176</v>
      </c>
      <c r="N112" s="16">
        <f>AVERAGE(B112:D113,F112,G113)</f>
        <v>29.081250000000001</v>
      </c>
      <c r="O112" s="16">
        <f>STDEV(B112:D113,F112,G113)</f>
        <v>2.6153035196703267</v>
      </c>
      <c r="P112" s="13"/>
      <c r="Q112" s="4"/>
    </row>
    <row r="113" spans="1:17" x14ac:dyDescent="0.3">
      <c r="A113" s="4"/>
      <c r="B113" s="6">
        <v>33.6</v>
      </c>
      <c r="C113" s="6">
        <v>29.19</v>
      </c>
      <c r="D113" s="6">
        <v>28.96</v>
      </c>
      <c r="E113" s="6">
        <v>22.52</v>
      </c>
      <c r="F113" s="6">
        <v>39.57</v>
      </c>
      <c r="G113" s="6">
        <v>26.6</v>
      </c>
      <c r="H113" s="4"/>
      <c r="I113" s="4"/>
      <c r="J113" s="6"/>
      <c r="K113" s="4"/>
      <c r="L113" s="13"/>
      <c r="M113" s="13"/>
      <c r="N113" s="4"/>
      <c r="O113" s="4"/>
      <c r="P113" s="4"/>
      <c r="Q113" s="4"/>
    </row>
    <row r="114" spans="1:17" ht="15" x14ac:dyDescent="0.3">
      <c r="A114" s="4" t="s">
        <v>47</v>
      </c>
      <c r="B114" s="6">
        <v>32.51</v>
      </c>
      <c r="C114" s="6">
        <v>25.91</v>
      </c>
      <c r="D114" s="6">
        <v>25.87</v>
      </c>
      <c r="E114" s="6">
        <v>22.77</v>
      </c>
      <c r="F114" s="6">
        <v>26.87</v>
      </c>
      <c r="G114" s="4"/>
      <c r="H114" s="4"/>
      <c r="I114" s="4"/>
      <c r="J114" s="4"/>
      <c r="K114" s="4"/>
      <c r="L114" s="16">
        <f>AVERAGE(B114,C115,D114,C114,E115,F115,F114)</f>
        <v>28.94142857142857</v>
      </c>
      <c r="M114" s="16">
        <f>STDEV(B114,C115,F115,F114,E115,D114,C114)</f>
        <v>3.2634870336876403</v>
      </c>
      <c r="N114" s="4"/>
      <c r="O114" s="4"/>
      <c r="P114" s="4"/>
      <c r="Q114" s="4"/>
    </row>
    <row r="115" spans="1:17" x14ac:dyDescent="0.3">
      <c r="A115" s="4"/>
      <c r="B115" s="6">
        <v>24.19</v>
      </c>
      <c r="C115" s="6">
        <v>32.909999999999997</v>
      </c>
      <c r="D115" s="6">
        <v>17.95</v>
      </c>
      <c r="E115" s="6">
        <v>26.78</v>
      </c>
      <c r="F115" s="6">
        <v>31.74</v>
      </c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1:17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</row>
    <row r="117" spans="1:17" x14ac:dyDescent="0.3">
      <c r="A117" s="4" t="s">
        <v>92</v>
      </c>
      <c r="B117" s="4"/>
      <c r="C117" s="4"/>
      <c r="D117" s="4"/>
      <c r="E117" s="4" t="s">
        <v>40</v>
      </c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spans="1:17" ht="15" x14ac:dyDescent="0.3">
      <c r="A118" s="4" t="s">
        <v>0</v>
      </c>
      <c r="B118" s="6">
        <v>36.32</v>
      </c>
      <c r="C118" s="6">
        <v>35.119999999999997</v>
      </c>
      <c r="D118" s="6">
        <v>36.369999999999997</v>
      </c>
      <c r="E118" s="6">
        <v>32.82</v>
      </c>
      <c r="F118" s="6">
        <v>32.909999999999997</v>
      </c>
      <c r="G118" s="6">
        <v>34.82</v>
      </c>
      <c r="H118" s="6">
        <v>30.78</v>
      </c>
      <c r="I118" s="6">
        <v>34.880000000000003</v>
      </c>
      <c r="J118" s="4"/>
      <c r="K118" s="4"/>
      <c r="L118" s="6">
        <f>AVERAGE(B118:D118,F118:G118)</f>
        <v>35.107999999999997</v>
      </c>
      <c r="M118" s="13">
        <f>STDEV(B118:D118,F118:G118)</f>
        <v>1.4120800260608468</v>
      </c>
      <c r="N118" s="16">
        <f>AVERAGE(B118:I118)</f>
        <v>34.252499999999998</v>
      </c>
      <c r="O118" s="16">
        <f>STDEV(B118:I118)</f>
        <v>1.9324059762748758</v>
      </c>
      <c r="P118" s="13"/>
      <c r="Q118" s="4"/>
    </row>
    <row r="119" spans="1:17" ht="15" x14ac:dyDescent="0.3">
      <c r="A119" s="4" t="s">
        <v>2</v>
      </c>
      <c r="B119" s="6">
        <v>22.31</v>
      </c>
      <c r="C119" s="6">
        <v>24</v>
      </c>
      <c r="D119" s="6">
        <v>28.76</v>
      </c>
      <c r="E119" s="6">
        <v>30.43</v>
      </c>
      <c r="F119" s="4"/>
      <c r="G119" s="4"/>
      <c r="H119" s="4"/>
      <c r="I119" s="4"/>
      <c r="J119" s="4"/>
      <c r="K119" s="4"/>
      <c r="L119" s="6">
        <f>AVERAGE(B119,C119,C120,D119,D120,E119,E120,F120,G120)</f>
        <v>26.362222222222226</v>
      </c>
      <c r="M119" s="13">
        <f>AVERAGE(AVERAGE(STDEV(L$119,C$119,C$120,D$119,D$120,E$119,E$120,F$120,G$120)))</f>
        <v>2.1172491016820358</v>
      </c>
      <c r="N119" s="16">
        <f>AVERAGE(C119:G120)</f>
        <v>26.868750000000002</v>
      </c>
      <c r="O119" s="16">
        <f>STDEV(C119:G120)</f>
        <v>2.2562259100415583</v>
      </c>
      <c r="P119" s="13"/>
      <c r="Q119" s="4"/>
    </row>
    <row r="120" spans="1:17" x14ac:dyDescent="0.3">
      <c r="A120" s="4"/>
      <c r="B120" s="6">
        <v>20.399999999999999</v>
      </c>
      <c r="C120" s="6">
        <v>25.61</v>
      </c>
      <c r="D120" s="6">
        <v>26.24</v>
      </c>
      <c r="E120" s="6">
        <v>28.99</v>
      </c>
      <c r="F120" s="6">
        <v>26.05</v>
      </c>
      <c r="G120" s="6">
        <v>24.87</v>
      </c>
      <c r="H120" s="4"/>
      <c r="I120" s="4"/>
      <c r="J120" s="4"/>
      <c r="K120" s="4"/>
      <c r="L120" s="4"/>
      <c r="M120" s="13"/>
      <c r="N120" s="13"/>
      <c r="O120" s="13"/>
      <c r="P120" s="13"/>
      <c r="Q120" s="4"/>
    </row>
    <row r="121" spans="1:17" ht="15" x14ac:dyDescent="0.3">
      <c r="A121" s="4" t="s">
        <v>45</v>
      </c>
      <c r="B121" s="6">
        <v>27.8</v>
      </c>
      <c r="C121" s="6">
        <v>29.13</v>
      </c>
      <c r="D121" s="6">
        <v>22.11</v>
      </c>
      <c r="E121" s="6">
        <v>28.05</v>
      </c>
      <c r="F121" s="6">
        <v>21.93</v>
      </c>
      <c r="G121" s="6">
        <v>29.6</v>
      </c>
      <c r="H121" s="4"/>
      <c r="I121" s="4"/>
      <c r="J121" s="6"/>
      <c r="K121" s="4"/>
      <c r="L121" s="7">
        <v>27.61</v>
      </c>
      <c r="M121" s="16">
        <f>STDEV(B121,B122,C121,D122,E122,E121,F122,G121)</f>
        <v>1.6143414181286786</v>
      </c>
      <c r="N121" s="4"/>
      <c r="O121" s="4"/>
      <c r="P121" s="4"/>
      <c r="Q121" s="4"/>
    </row>
    <row r="122" spans="1:17" ht="15" x14ac:dyDescent="0.3">
      <c r="A122" s="4"/>
      <c r="B122" s="6">
        <v>25.17</v>
      </c>
      <c r="C122" s="6">
        <v>22.88</v>
      </c>
      <c r="D122" s="6">
        <v>25.48</v>
      </c>
      <c r="E122" s="6">
        <v>27.07</v>
      </c>
      <c r="F122" s="6">
        <v>28.59</v>
      </c>
      <c r="G122" s="4"/>
      <c r="H122" s="4"/>
      <c r="I122" s="4"/>
      <c r="J122" s="4"/>
      <c r="K122" s="4"/>
      <c r="L122" s="5"/>
      <c r="M122" s="16"/>
      <c r="N122" s="4"/>
      <c r="O122" s="4"/>
      <c r="P122" s="4"/>
      <c r="Q122" s="4"/>
    </row>
    <row r="123" spans="1:17" ht="15" x14ac:dyDescent="0.3">
      <c r="A123" s="4" t="s">
        <v>46</v>
      </c>
      <c r="B123" s="6">
        <v>25.72</v>
      </c>
      <c r="C123" s="6">
        <v>21.96</v>
      </c>
      <c r="D123" s="6">
        <v>28.54</v>
      </c>
      <c r="E123" s="6">
        <v>23.92</v>
      </c>
      <c r="F123" s="6">
        <v>32.020000000000003</v>
      </c>
      <c r="G123" s="4"/>
      <c r="H123" s="4"/>
      <c r="I123" s="4"/>
      <c r="J123" s="4"/>
      <c r="K123" s="4"/>
      <c r="L123" s="7">
        <f>AVERAGE(B124,B123,D123,D124,E123,E123,E124,F123,F124)</f>
        <v>28.63111111111111</v>
      </c>
      <c r="M123" s="16">
        <f>STDEV(B123,D123,D124,E124,F123,F124,C124)</f>
        <v>3.2046253774074183</v>
      </c>
      <c r="N123" s="4"/>
      <c r="O123" s="4"/>
      <c r="P123" s="4"/>
      <c r="Q123" s="4"/>
    </row>
    <row r="124" spans="1:17" ht="15" x14ac:dyDescent="0.3">
      <c r="A124" s="4"/>
      <c r="B124" s="6">
        <v>35.4</v>
      </c>
      <c r="C124" s="6">
        <v>23.92</v>
      </c>
      <c r="D124" s="6">
        <v>26.45</v>
      </c>
      <c r="E124" s="6">
        <v>29.21</v>
      </c>
      <c r="F124" s="6">
        <v>32.5</v>
      </c>
      <c r="G124" s="6">
        <v>22.27</v>
      </c>
      <c r="H124" s="4"/>
      <c r="I124" s="4"/>
      <c r="J124" s="4"/>
      <c r="K124" s="4"/>
      <c r="L124" s="5"/>
      <c r="M124" s="16"/>
      <c r="N124" s="4"/>
      <c r="O124" s="4"/>
      <c r="P124" s="4"/>
      <c r="Q124" s="4"/>
    </row>
    <row r="125" spans="1:17" ht="15" x14ac:dyDescent="0.3">
      <c r="A125" s="4" t="s">
        <v>47</v>
      </c>
      <c r="B125" s="6">
        <v>27.67</v>
      </c>
      <c r="C125" s="6">
        <v>24.8</v>
      </c>
      <c r="D125" s="6">
        <v>25.91</v>
      </c>
      <c r="E125" s="6">
        <v>26.95</v>
      </c>
      <c r="F125" s="6">
        <v>34.54</v>
      </c>
      <c r="G125" s="4"/>
      <c r="H125" s="4"/>
      <c r="I125" s="4"/>
      <c r="J125" s="4"/>
      <c r="K125" s="4"/>
      <c r="L125" s="7">
        <f>AVERAGE(B125:F125,B126,C126,D126)</f>
        <v>29.266249999999999</v>
      </c>
      <c r="M125" s="16">
        <f>STDEV(B125:D126,E125:F125)</f>
        <v>4.1328058179125353</v>
      </c>
      <c r="N125" s="4"/>
      <c r="O125" s="4"/>
      <c r="P125" s="4"/>
      <c r="Q125" s="4"/>
    </row>
    <row r="126" spans="1:17" x14ac:dyDescent="0.3">
      <c r="A126" s="4"/>
      <c r="B126" s="6">
        <v>36.380000000000003</v>
      </c>
      <c r="C126" s="6">
        <v>27.99</v>
      </c>
      <c r="D126" s="6">
        <v>29.89</v>
      </c>
      <c r="E126" s="6">
        <v>16.28</v>
      </c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</row>
    <row r="127" spans="1:17" x14ac:dyDescent="0.3">
      <c r="A127" s="4" t="s">
        <v>93</v>
      </c>
      <c r="B127" s="4"/>
      <c r="C127" s="4"/>
      <c r="D127" s="4" t="s">
        <v>51</v>
      </c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</row>
    <row r="128" spans="1:17" ht="15" x14ac:dyDescent="0.3">
      <c r="A128" s="4" t="s">
        <v>0</v>
      </c>
      <c r="B128" s="6">
        <v>31.54</v>
      </c>
      <c r="C128" s="6">
        <v>33.56</v>
      </c>
      <c r="D128" s="6">
        <v>33.78</v>
      </c>
      <c r="E128" s="6">
        <v>34.81</v>
      </c>
      <c r="F128" s="6">
        <v>27.05</v>
      </c>
      <c r="G128" s="6">
        <v>35.99</v>
      </c>
      <c r="H128" s="6">
        <v>32.89</v>
      </c>
      <c r="I128" s="6">
        <v>36.32</v>
      </c>
      <c r="J128" s="6">
        <v>33.74</v>
      </c>
      <c r="K128" s="6">
        <v>34.82</v>
      </c>
      <c r="L128" s="6">
        <f>AVERAGE(B128,C128,E128,G128,F128)</f>
        <v>32.590000000000003</v>
      </c>
      <c r="M128" s="13">
        <f>STDEV(B128,C128,E128,G128)</f>
        <v>1.9025333987431963</v>
      </c>
      <c r="N128" s="16">
        <f>AVERAGE(B128:K128)</f>
        <v>33.450000000000003</v>
      </c>
      <c r="O128" s="16">
        <f>STDEV(B128:K128)</f>
        <v>2.6571036863472228</v>
      </c>
      <c r="P128" s="4"/>
      <c r="Q128" s="4"/>
    </row>
    <row r="129" spans="1:17" ht="15" x14ac:dyDescent="0.3">
      <c r="A129" s="4" t="s">
        <v>2</v>
      </c>
      <c r="B129" s="6">
        <v>26.13</v>
      </c>
      <c r="C129" s="6">
        <v>26.81</v>
      </c>
      <c r="D129" s="6">
        <v>28.26</v>
      </c>
      <c r="E129" s="6">
        <v>30.76</v>
      </c>
      <c r="F129" s="6">
        <v>27.86</v>
      </c>
      <c r="G129" s="4"/>
      <c r="H129" s="4"/>
      <c r="I129" s="4"/>
      <c r="J129" s="4"/>
      <c r="K129" s="4"/>
      <c r="L129" s="6">
        <f>AVERAGE(B129,C129,C130,D129,D130,E130,F129,F130)</f>
        <v>26.75</v>
      </c>
      <c r="M129" s="13">
        <f>STDEV(B129,C129,D129,D130,E130,F130,F129)</f>
        <v>0.87104206885447621</v>
      </c>
      <c r="N129" s="16">
        <f>AVERAGE(B129:F130)</f>
        <v>27.167000000000002</v>
      </c>
      <c r="O129" s="16">
        <f>STDEV(B129:F130)</f>
        <v>1.7440186670764484</v>
      </c>
      <c r="P129" s="4"/>
      <c r="Q129" s="4"/>
    </row>
    <row r="130" spans="1:17" ht="15" x14ac:dyDescent="0.3">
      <c r="A130" s="4"/>
      <c r="B130" s="6">
        <v>26.91</v>
      </c>
      <c r="C130" s="6">
        <v>24.03</v>
      </c>
      <c r="D130" s="6">
        <v>27.9</v>
      </c>
      <c r="E130" s="6">
        <v>26.14</v>
      </c>
      <c r="F130" s="6">
        <v>26.87</v>
      </c>
      <c r="G130" s="4"/>
      <c r="H130" s="4"/>
      <c r="I130" s="4"/>
      <c r="J130" s="4"/>
      <c r="K130" s="4"/>
      <c r="L130" s="4"/>
      <c r="M130" s="13"/>
      <c r="N130" s="16"/>
      <c r="O130" s="16"/>
      <c r="P130" s="4"/>
      <c r="Q130" s="4"/>
    </row>
    <row r="131" spans="1:17" ht="15" x14ac:dyDescent="0.3">
      <c r="A131" s="4" t="s">
        <v>45</v>
      </c>
      <c r="B131" s="6">
        <v>26.07</v>
      </c>
      <c r="C131" s="6">
        <v>27.94</v>
      </c>
      <c r="D131" s="6">
        <v>26.67</v>
      </c>
      <c r="E131" s="6">
        <v>28.3</v>
      </c>
      <c r="F131" s="6">
        <v>24.78</v>
      </c>
      <c r="G131" s="6">
        <v>28.16</v>
      </c>
      <c r="H131" s="4"/>
      <c r="I131" s="4"/>
      <c r="J131" s="4"/>
      <c r="K131" s="4"/>
      <c r="L131" s="6">
        <f>AVERAGE(B131:G132)</f>
        <v>26.519090909090906</v>
      </c>
      <c r="M131" s="13">
        <f>STDEV(B131,B132,C131,D131,D132,E131,F131,F132,G131)</f>
        <v>1.394660452503683</v>
      </c>
      <c r="N131" s="16">
        <f>AVERAGE(B131:B132,C131,D131,D132,E131,E132,F131,F132,G131)</f>
        <v>26.840000000000003</v>
      </c>
      <c r="O131" s="16">
        <f>STDEV(B131,B132,C131,D131,D132,E131,E132,F132,F131,G131)</f>
        <v>1.8814710556724841</v>
      </c>
      <c r="P131" s="4"/>
      <c r="Q131" s="4"/>
    </row>
    <row r="132" spans="1:17" ht="15" x14ac:dyDescent="0.3">
      <c r="A132" s="4"/>
      <c r="B132" s="6">
        <v>28.53</v>
      </c>
      <c r="C132" s="6">
        <v>23.31</v>
      </c>
      <c r="D132" s="6">
        <v>28.81</v>
      </c>
      <c r="E132" s="6">
        <v>23.01</v>
      </c>
      <c r="F132" s="6">
        <v>26.13</v>
      </c>
      <c r="G132" s="4"/>
      <c r="H132" s="4"/>
      <c r="I132" s="4"/>
      <c r="J132" s="4"/>
      <c r="K132" s="4"/>
      <c r="L132" s="4"/>
      <c r="M132" s="13"/>
      <c r="N132" s="16"/>
      <c r="O132" s="16"/>
      <c r="P132" s="4"/>
      <c r="Q132" s="4"/>
    </row>
    <row r="133" spans="1:17" ht="15" x14ac:dyDescent="0.3">
      <c r="A133" s="4" t="s">
        <v>46</v>
      </c>
      <c r="B133" s="6">
        <v>24.87</v>
      </c>
      <c r="C133" s="6">
        <v>32.770000000000003</v>
      </c>
      <c r="D133" s="6">
        <v>31.76</v>
      </c>
      <c r="E133" s="6">
        <v>25.62</v>
      </c>
      <c r="F133" s="6">
        <v>25.77</v>
      </c>
      <c r="G133" s="6">
        <v>32.67</v>
      </c>
      <c r="H133" s="4"/>
      <c r="I133" s="4"/>
      <c r="J133" s="4"/>
      <c r="K133" s="4"/>
      <c r="L133" s="7">
        <f>AVERAGE(B133,B134,C133,D133,D134,E133,E134,F133,F134,G133)</f>
        <v>29.036000000000001</v>
      </c>
      <c r="M133" s="16">
        <f>STDEV(B133,B134,C134,D133,D134,E133,F134,F133)</f>
        <v>2.6726441562082837</v>
      </c>
      <c r="N133" s="16"/>
      <c r="O133" s="16"/>
      <c r="P133" s="4"/>
      <c r="Q133" s="4"/>
    </row>
    <row r="134" spans="1:17" ht="15" x14ac:dyDescent="0.3">
      <c r="A134" s="4"/>
      <c r="B134" s="6">
        <v>27.77</v>
      </c>
      <c r="C134" s="6">
        <v>22.86</v>
      </c>
      <c r="D134" s="6">
        <v>25.29</v>
      </c>
      <c r="E134" s="6">
        <v>35.909999999999997</v>
      </c>
      <c r="F134" s="6">
        <v>27.93</v>
      </c>
      <c r="G134" s="4"/>
      <c r="H134" s="4"/>
      <c r="I134" s="4"/>
      <c r="J134" s="4"/>
      <c r="K134" s="4"/>
      <c r="L134" s="5"/>
      <c r="M134" s="16"/>
      <c r="N134" s="16"/>
      <c r="O134" s="16"/>
      <c r="P134" s="4"/>
      <c r="Q134" s="4"/>
    </row>
    <row r="135" spans="1:17" ht="15" x14ac:dyDescent="0.3">
      <c r="A135" s="4" t="s">
        <v>47</v>
      </c>
      <c r="B135" s="6">
        <v>29.25</v>
      </c>
      <c r="C135" s="6">
        <v>34.6</v>
      </c>
      <c r="D135" s="6">
        <v>27.36</v>
      </c>
      <c r="E135" s="6">
        <v>26.22</v>
      </c>
      <c r="F135" s="6">
        <v>28.74</v>
      </c>
      <c r="G135" s="4"/>
      <c r="H135" s="4"/>
      <c r="I135" s="4"/>
      <c r="J135" s="4"/>
      <c r="K135" s="4"/>
      <c r="L135" s="6">
        <f>AVERAGE(C135,D135,E135,F135)</f>
        <v>29.23</v>
      </c>
      <c r="M135" s="13">
        <f>STDEV(D135:F135)</f>
        <v>1.2619033243477884</v>
      </c>
      <c r="N135" s="16">
        <f>AVERAGE(B135:F136)</f>
        <v>30.133000000000003</v>
      </c>
      <c r="O135" s="16">
        <f>STDEV(B135:F136)</f>
        <v>3.1477754049487086</v>
      </c>
      <c r="P135" s="4"/>
      <c r="Q135" s="4"/>
    </row>
    <row r="136" spans="1:17" x14ac:dyDescent="0.3">
      <c r="A136" s="4"/>
      <c r="B136" s="6">
        <v>30.15</v>
      </c>
      <c r="C136" s="6">
        <v>34.19</v>
      </c>
      <c r="D136" s="6">
        <v>28.56</v>
      </c>
      <c r="E136" s="6">
        <v>27.77</v>
      </c>
      <c r="F136" s="6">
        <v>34.49</v>
      </c>
      <c r="G136" s="4"/>
      <c r="H136" s="4"/>
      <c r="I136" s="4"/>
      <c r="J136" s="4"/>
      <c r="K136" s="4"/>
      <c r="L136" s="6"/>
      <c r="M136" s="4"/>
      <c r="N136" s="4"/>
      <c r="O136" s="4"/>
      <c r="P136" s="4"/>
      <c r="Q136" s="4"/>
    </row>
    <row r="137" spans="1:17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</row>
    <row r="138" spans="1:17" x14ac:dyDescent="0.3">
      <c r="A138" s="4" t="s">
        <v>93</v>
      </c>
      <c r="B138" s="4"/>
      <c r="C138" s="4"/>
      <c r="D138" s="4" t="s">
        <v>51</v>
      </c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</row>
    <row r="139" spans="1:17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</row>
    <row r="140" spans="1:17" ht="15" x14ac:dyDescent="0.3">
      <c r="A140" s="4" t="s">
        <v>0</v>
      </c>
      <c r="B140" s="4">
        <v>31.54</v>
      </c>
      <c r="C140" s="4">
        <v>33.56</v>
      </c>
      <c r="D140" s="4">
        <v>28.21</v>
      </c>
      <c r="E140" s="4">
        <v>33.81</v>
      </c>
      <c r="F140" s="4">
        <v>37.049999999999997</v>
      </c>
      <c r="G140" s="6">
        <v>35.99</v>
      </c>
      <c r="H140" s="6"/>
      <c r="I140" s="6"/>
      <c r="J140" s="6"/>
      <c r="K140" s="4"/>
      <c r="L140" s="6"/>
      <c r="M140" s="6"/>
      <c r="N140" s="6">
        <f>AVERAGE(B140:G140)</f>
        <v>33.360000000000007</v>
      </c>
      <c r="O140" s="7">
        <v>33.450000000000003</v>
      </c>
      <c r="P140" s="4">
        <f>AVERAGE(B140:G140)</f>
        <v>33.360000000000007</v>
      </c>
      <c r="Q140" s="4"/>
    </row>
    <row r="141" spans="1:17" x14ac:dyDescent="0.3">
      <c r="A141" s="4"/>
      <c r="B141" s="4"/>
      <c r="C141" s="4"/>
      <c r="D141" s="4"/>
      <c r="E141" s="6"/>
      <c r="F141" s="4"/>
      <c r="G141" s="6"/>
      <c r="H141" s="4"/>
      <c r="I141" s="6"/>
      <c r="J141" s="4"/>
      <c r="K141" s="4"/>
      <c r="L141" s="4"/>
      <c r="M141" s="4"/>
      <c r="N141" s="4"/>
      <c r="O141" s="4"/>
      <c r="P141" s="4"/>
      <c r="Q141" s="4"/>
    </row>
    <row r="142" spans="1:17" ht="15" x14ac:dyDescent="0.3">
      <c r="A142" s="4" t="s">
        <v>2</v>
      </c>
      <c r="B142" s="4">
        <v>29.13</v>
      </c>
      <c r="C142" s="4">
        <v>26.81</v>
      </c>
      <c r="D142" s="4">
        <v>30.26</v>
      </c>
      <c r="E142" s="6">
        <v>21.28</v>
      </c>
      <c r="F142" s="4">
        <v>27.86</v>
      </c>
      <c r="G142" s="4">
        <v>32.57</v>
      </c>
      <c r="H142" s="4">
        <v>24.03</v>
      </c>
      <c r="I142" s="6">
        <v>29.9</v>
      </c>
      <c r="J142" s="4">
        <v>26.14</v>
      </c>
      <c r="K142" s="4">
        <v>25.87</v>
      </c>
      <c r="L142" s="4"/>
      <c r="M142" s="4"/>
      <c r="N142" s="4">
        <f>AVERAGE(B142:K142)</f>
        <v>27.385000000000002</v>
      </c>
      <c r="O142" s="7">
        <v>27.167000000000002</v>
      </c>
      <c r="P142" s="4">
        <f>AVERAGE(B142:K142)</f>
        <v>27.385000000000002</v>
      </c>
      <c r="Q142" s="4"/>
    </row>
    <row r="143" spans="1:17" x14ac:dyDescent="0.3">
      <c r="A143" s="4"/>
      <c r="B143" s="4"/>
      <c r="C143" s="4"/>
      <c r="D143" s="4"/>
      <c r="E143" s="4"/>
      <c r="F143" s="4"/>
      <c r="G143" s="4"/>
      <c r="H143" s="4"/>
      <c r="I143" s="6"/>
      <c r="J143" s="4"/>
      <c r="K143" s="4"/>
      <c r="L143" s="4"/>
      <c r="M143" s="4"/>
      <c r="N143" s="4"/>
      <c r="O143" s="4"/>
      <c r="P143" s="4"/>
      <c r="Q143" s="4"/>
    </row>
    <row r="144" spans="1:17" ht="15" x14ac:dyDescent="0.3">
      <c r="A144" s="4" t="s">
        <v>45</v>
      </c>
      <c r="B144" s="4">
        <v>26.07</v>
      </c>
      <c r="C144" s="4">
        <v>27.94</v>
      </c>
      <c r="D144" s="4">
        <v>26.67</v>
      </c>
      <c r="E144" s="6">
        <v>28.3</v>
      </c>
      <c r="F144" s="4">
        <v>24.78</v>
      </c>
      <c r="G144" s="4">
        <v>28.16</v>
      </c>
      <c r="H144" s="4">
        <v>28.53</v>
      </c>
      <c r="I144" s="4">
        <v>23.31</v>
      </c>
      <c r="J144" s="4">
        <v>28.81</v>
      </c>
      <c r="K144" s="4">
        <v>23.01</v>
      </c>
      <c r="L144" s="4">
        <v>26.13</v>
      </c>
      <c r="M144" s="4"/>
      <c r="N144" s="6">
        <f>AVERAGE(B144:L144)</f>
        <v>26.519090909090906</v>
      </c>
      <c r="O144" s="7">
        <v>26.84</v>
      </c>
      <c r="P144" s="4">
        <f>STDEV(B144:L144)</f>
        <v>2.0781600253370986</v>
      </c>
      <c r="Q144" s="4"/>
    </row>
    <row r="145" spans="1:17" x14ac:dyDescent="0.3">
      <c r="A145" s="4"/>
      <c r="B145" s="4"/>
      <c r="C145" s="4"/>
      <c r="D145" s="4"/>
      <c r="E145" s="4"/>
      <c r="F145" s="4"/>
      <c r="G145" s="6"/>
      <c r="H145" s="4"/>
      <c r="I145" s="4"/>
      <c r="J145" s="4"/>
      <c r="K145" s="4"/>
      <c r="L145" s="4"/>
      <c r="M145" s="4"/>
      <c r="N145" s="4"/>
      <c r="O145" s="4"/>
      <c r="P145" s="4"/>
      <c r="Q145" s="4"/>
    </row>
    <row r="146" spans="1:17" ht="15" x14ac:dyDescent="0.3">
      <c r="A146" s="4" t="s">
        <v>46</v>
      </c>
      <c r="B146" s="6">
        <v>24.87</v>
      </c>
      <c r="C146" s="4">
        <v>32.770000000000003</v>
      </c>
      <c r="D146" s="4">
        <v>31.76</v>
      </c>
      <c r="E146" s="4">
        <v>28.62</v>
      </c>
      <c r="F146" s="6">
        <v>25.77</v>
      </c>
      <c r="G146" s="4">
        <v>32.67</v>
      </c>
      <c r="H146" s="4">
        <v>27.77</v>
      </c>
      <c r="I146" s="4">
        <v>25.86</v>
      </c>
      <c r="J146" s="4">
        <v>25.29</v>
      </c>
      <c r="K146" s="6">
        <v>35.909999999999997</v>
      </c>
      <c r="L146" s="4">
        <v>27.93</v>
      </c>
      <c r="M146" s="4"/>
      <c r="N146" s="6">
        <f>AVERAGE(B146:L146)</f>
        <v>29.020000000000003</v>
      </c>
      <c r="O146" s="7">
        <v>29.036000000000001</v>
      </c>
      <c r="P146" s="4">
        <f>STDEV(B146:L146)</f>
        <v>3.7007945092911942</v>
      </c>
      <c r="Q146" s="4"/>
    </row>
    <row r="147" spans="1:17" x14ac:dyDescent="0.3">
      <c r="A147" s="4"/>
      <c r="B147" s="4"/>
      <c r="C147" s="4"/>
      <c r="D147" s="4"/>
      <c r="E147" s="4"/>
      <c r="F147" s="6"/>
      <c r="G147" s="4"/>
      <c r="H147" s="6"/>
      <c r="I147" s="6"/>
      <c r="J147" s="6"/>
      <c r="K147" s="6"/>
      <c r="L147" s="4"/>
      <c r="M147" s="4"/>
      <c r="N147" s="4"/>
      <c r="O147" s="4"/>
      <c r="P147" s="4"/>
      <c r="Q147" s="4"/>
    </row>
    <row r="148" spans="1:17" ht="15" x14ac:dyDescent="0.3">
      <c r="A148" s="4" t="s">
        <v>47</v>
      </c>
      <c r="B148" s="4">
        <v>30.25</v>
      </c>
      <c r="C148" s="4">
        <v>34.6</v>
      </c>
      <c r="D148" s="4">
        <v>28.36</v>
      </c>
      <c r="E148" s="4">
        <v>28.22</v>
      </c>
      <c r="F148" s="4">
        <v>30.74</v>
      </c>
      <c r="G148" s="4"/>
      <c r="H148" s="6"/>
      <c r="I148" s="6"/>
      <c r="J148" s="6"/>
      <c r="K148" s="6"/>
      <c r="L148" s="6"/>
      <c r="M148" s="4"/>
      <c r="N148" s="6">
        <f>AVERAGE(AVERAGE($N146:$N147,$B148:$F148))</f>
        <v>30.198333333333334</v>
      </c>
      <c r="O148" s="7">
        <v>30.133000000000003</v>
      </c>
      <c r="P148" s="4">
        <f>STDEV(B148:F148)</f>
        <v>2.5829401851378604</v>
      </c>
      <c r="Q148" s="4"/>
    </row>
    <row r="149" spans="1:17" x14ac:dyDescent="0.3">
      <c r="A149" s="4"/>
      <c r="B149" s="4"/>
      <c r="C149" s="4"/>
      <c r="D149" s="6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</row>
    <row r="150" spans="1:17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</row>
    <row r="151" spans="1:17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</row>
    <row r="152" spans="1:17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</row>
    <row r="153" spans="1:17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</row>
    <row r="154" spans="1:17" x14ac:dyDescent="0.3">
      <c r="A154" s="4"/>
      <c r="B154" s="4"/>
      <c r="C154" s="6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</row>
    <row r="155" spans="1:17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</row>
    <row r="156" spans="1:17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</row>
    <row r="157" spans="1:17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</row>
    <row r="158" spans="1:17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</row>
    <row r="159" spans="1:17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0" spans="1:17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</row>
    <row r="161" spans="1:17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</row>
    <row r="162" spans="1:17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</row>
    <row r="163" spans="1:17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</row>
    <row r="164" spans="1:17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</row>
    <row r="165" spans="1:17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999BE-8EC4-4B9E-8294-E72AD3D737B4}">
  <dimension ref="A1:P126"/>
  <sheetViews>
    <sheetView workbookViewId="0">
      <selection activeCell="K128" sqref="K128"/>
    </sheetView>
  </sheetViews>
  <sheetFormatPr defaultRowHeight="14" x14ac:dyDescent="0.3"/>
  <cols>
    <col min="1" max="1" width="11.25" style="4" customWidth="1"/>
    <col min="2" max="256" width="8.6640625" style="4"/>
    <col min="257" max="257" width="11.25" style="4" customWidth="1"/>
    <col min="258" max="512" width="8.6640625" style="4"/>
    <col min="513" max="513" width="11.25" style="4" customWidth="1"/>
    <col min="514" max="768" width="8.6640625" style="4"/>
    <col min="769" max="769" width="11.25" style="4" customWidth="1"/>
    <col min="770" max="1024" width="8.6640625" style="4"/>
    <col min="1025" max="1025" width="11.25" style="4" customWidth="1"/>
    <col min="1026" max="1280" width="8.6640625" style="4"/>
    <col min="1281" max="1281" width="11.25" style="4" customWidth="1"/>
    <col min="1282" max="1536" width="8.6640625" style="4"/>
    <col min="1537" max="1537" width="11.25" style="4" customWidth="1"/>
    <col min="1538" max="1792" width="8.6640625" style="4"/>
    <col min="1793" max="1793" width="11.25" style="4" customWidth="1"/>
    <col min="1794" max="2048" width="8.6640625" style="4"/>
    <col min="2049" max="2049" width="11.25" style="4" customWidth="1"/>
    <col min="2050" max="2304" width="8.6640625" style="4"/>
    <col min="2305" max="2305" width="11.25" style="4" customWidth="1"/>
    <col min="2306" max="2560" width="8.6640625" style="4"/>
    <col min="2561" max="2561" width="11.25" style="4" customWidth="1"/>
    <col min="2562" max="2816" width="8.6640625" style="4"/>
    <col min="2817" max="2817" width="11.25" style="4" customWidth="1"/>
    <col min="2818" max="3072" width="8.6640625" style="4"/>
    <col min="3073" max="3073" width="11.25" style="4" customWidth="1"/>
    <col min="3074" max="3328" width="8.6640625" style="4"/>
    <col min="3329" max="3329" width="11.25" style="4" customWidth="1"/>
    <col min="3330" max="3584" width="8.6640625" style="4"/>
    <col min="3585" max="3585" width="11.25" style="4" customWidth="1"/>
    <col min="3586" max="3840" width="8.6640625" style="4"/>
    <col min="3841" max="3841" width="11.25" style="4" customWidth="1"/>
    <col min="3842" max="4096" width="8.6640625" style="4"/>
    <col min="4097" max="4097" width="11.25" style="4" customWidth="1"/>
    <col min="4098" max="4352" width="8.6640625" style="4"/>
    <col min="4353" max="4353" width="11.25" style="4" customWidth="1"/>
    <col min="4354" max="4608" width="8.6640625" style="4"/>
    <col min="4609" max="4609" width="11.25" style="4" customWidth="1"/>
    <col min="4610" max="4864" width="8.6640625" style="4"/>
    <col min="4865" max="4865" width="11.25" style="4" customWidth="1"/>
    <col min="4866" max="5120" width="8.6640625" style="4"/>
    <col min="5121" max="5121" width="11.25" style="4" customWidth="1"/>
    <col min="5122" max="5376" width="8.6640625" style="4"/>
    <col min="5377" max="5377" width="11.25" style="4" customWidth="1"/>
    <col min="5378" max="5632" width="8.6640625" style="4"/>
    <col min="5633" max="5633" width="11.25" style="4" customWidth="1"/>
    <col min="5634" max="5888" width="8.6640625" style="4"/>
    <col min="5889" max="5889" width="11.25" style="4" customWidth="1"/>
    <col min="5890" max="6144" width="8.6640625" style="4"/>
    <col min="6145" max="6145" width="11.25" style="4" customWidth="1"/>
    <col min="6146" max="6400" width="8.6640625" style="4"/>
    <col min="6401" max="6401" width="11.25" style="4" customWidth="1"/>
    <col min="6402" max="6656" width="8.6640625" style="4"/>
    <col min="6657" max="6657" width="11.25" style="4" customWidth="1"/>
    <col min="6658" max="6912" width="8.6640625" style="4"/>
    <col min="6913" max="6913" width="11.25" style="4" customWidth="1"/>
    <col min="6914" max="7168" width="8.6640625" style="4"/>
    <col min="7169" max="7169" width="11.25" style="4" customWidth="1"/>
    <col min="7170" max="7424" width="8.6640625" style="4"/>
    <col min="7425" max="7425" width="11.25" style="4" customWidth="1"/>
    <col min="7426" max="7680" width="8.6640625" style="4"/>
    <col min="7681" max="7681" width="11.25" style="4" customWidth="1"/>
    <col min="7682" max="7936" width="8.6640625" style="4"/>
    <col min="7937" max="7937" width="11.25" style="4" customWidth="1"/>
    <col min="7938" max="8192" width="8.6640625" style="4"/>
    <col min="8193" max="8193" width="11.25" style="4" customWidth="1"/>
    <col min="8194" max="8448" width="8.6640625" style="4"/>
    <col min="8449" max="8449" width="11.25" style="4" customWidth="1"/>
    <col min="8450" max="8704" width="8.6640625" style="4"/>
    <col min="8705" max="8705" width="11.25" style="4" customWidth="1"/>
    <col min="8706" max="8960" width="8.6640625" style="4"/>
    <col min="8961" max="8961" width="11.25" style="4" customWidth="1"/>
    <col min="8962" max="9216" width="8.6640625" style="4"/>
    <col min="9217" max="9217" width="11.25" style="4" customWidth="1"/>
    <col min="9218" max="9472" width="8.6640625" style="4"/>
    <col min="9473" max="9473" width="11.25" style="4" customWidth="1"/>
    <col min="9474" max="9728" width="8.6640625" style="4"/>
    <col min="9729" max="9729" width="11.25" style="4" customWidth="1"/>
    <col min="9730" max="9984" width="8.6640625" style="4"/>
    <col min="9985" max="9985" width="11.25" style="4" customWidth="1"/>
    <col min="9986" max="10240" width="8.6640625" style="4"/>
    <col min="10241" max="10241" width="11.25" style="4" customWidth="1"/>
    <col min="10242" max="10496" width="8.6640625" style="4"/>
    <col min="10497" max="10497" width="11.25" style="4" customWidth="1"/>
    <col min="10498" max="10752" width="8.6640625" style="4"/>
    <col min="10753" max="10753" width="11.25" style="4" customWidth="1"/>
    <col min="10754" max="11008" width="8.6640625" style="4"/>
    <col min="11009" max="11009" width="11.25" style="4" customWidth="1"/>
    <col min="11010" max="11264" width="8.6640625" style="4"/>
    <col min="11265" max="11265" width="11.25" style="4" customWidth="1"/>
    <col min="11266" max="11520" width="8.6640625" style="4"/>
    <col min="11521" max="11521" width="11.25" style="4" customWidth="1"/>
    <col min="11522" max="11776" width="8.6640625" style="4"/>
    <col min="11777" max="11777" width="11.25" style="4" customWidth="1"/>
    <col min="11778" max="12032" width="8.6640625" style="4"/>
    <col min="12033" max="12033" width="11.25" style="4" customWidth="1"/>
    <col min="12034" max="12288" width="8.6640625" style="4"/>
    <col min="12289" max="12289" width="11.25" style="4" customWidth="1"/>
    <col min="12290" max="12544" width="8.6640625" style="4"/>
    <col min="12545" max="12545" width="11.25" style="4" customWidth="1"/>
    <col min="12546" max="12800" width="8.6640625" style="4"/>
    <col min="12801" max="12801" width="11.25" style="4" customWidth="1"/>
    <col min="12802" max="13056" width="8.6640625" style="4"/>
    <col min="13057" max="13057" width="11.25" style="4" customWidth="1"/>
    <col min="13058" max="13312" width="8.6640625" style="4"/>
    <col min="13313" max="13313" width="11.25" style="4" customWidth="1"/>
    <col min="13314" max="13568" width="8.6640625" style="4"/>
    <col min="13569" max="13569" width="11.25" style="4" customWidth="1"/>
    <col min="13570" max="13824" width="8.6640625" style="4"/>
    <col min="13825" max="13825" width="11.25" style="4" customWidth="1"/>
    <col min="13826" max="14080" width="8.6640625" style="4"/>
    <col min="14081" max="14081" width="11.25" style="4" customWidth="1"/>
    <col min="14082" max="14336" width="8.6640625" style="4"/>
    <col min="14337" max="14337" width="11.25" style="4" customWidth="1"/>
    <col min="14338" max="14592" width="8.6640625" style="4"/>
    <col min="14593" max="14593" width="11.25" style="4" customWidth="1"/>
    <col min="14594" max="14848" width="8.6640625" style="4"/>
    <col min="14849" max="14849" width="11.25" style="4" customWidth="1"/>
    <col min="14850" max="15104" width="8.6640625" style="4"/>
    <col min="15105" max="15105" width="11.25" style="4" customWidth="1"/>
    <col min="15106" max="15360" width="8.6640625" style="4"/>
    <col min="15361" max="15361" width="11.25" style="4" customWidth="1"/>
    <col min="15362" max="15616" width="8.6640625" style="4"/>
    <col min="15617" max="15617" width="11.25" style="4" customWidth="1"/>
    <col min="15618" max="15872" width="8.6640625" style="4"/>
    <col min="15873" max="15873" width="11.25" style="4" customWidth="1"/>
    <col min="15874" max="16128" width="8.6640625" style="4"/>
    <col min="16129" max="16129" width="11.25" style="4" customWidth="1"/>
    <col min="16130" max="16384" width="8.6640625" style="4"/>
  </cols>
  <sheetData>
    <row r="1" spans="1:12" x14ac:dyDescent="0.3">
      <c r="A1" s="4" t="s">
        <v>109</v>
      </c>
    </row>
    <row r="2" spans="1:12" x14ac:dyDescent="0.3">
      <c r="B2" s="4" t="s">
        <v>52</v>
      </c>
      <c r="C2" s="4" t="s">
        <v>53</v>
      </c>
      <c r="D2" s="4" t="s">
        <v>54</v>
      </c>
      <c r="E2" s="4" t="s">
        <v>55</v>
      </c>
      <c r="F2" s="4" t="s">
        <v>56</v>
      </c>
      <c r="G2" s="4" t="s">
        <v>57</v>
      </c>
    </row>
    <row r="3" spans="1:12" ht="15" x14ac:dyDescent="0.3">
      <c r="A3" s="4">
        <v>1</v>
      </c>
      <c r="B3" s="4">
        <v>11.7</v>
      </c>
      <c r="C3" s="4">
        <v>12.8</v>
      </c>
      <c r="D3" s="4">
        <v>10.4</v>
      </c>
      <c r="E3" s="4">
        <v>8.9</v>
      </c>
      <c r="F3" s="5">
        <v>5.8</v>
      </c>
      <c r="G3" s="4">
        <v>12.3</v>
      </c>
      <c r="I3" s="6">
        <f>AVERAGE(B3:E3,G3)</f>
        <v>11.219999999999999</v>
      </c>
      <c r="J3" s="6"/>
      <c r="L3" s="4">
        <f>AVERAGE(I3:I16)</f>
        <v>10.979230769230771</v>
      </c>
    </row>
    <row r="4" spans="1:12" ht="15" x14ac:dyDescent="0.3">
      <c r="A4" s="4">
        <v>2</v>
      </c>
      <c r="B4" s="5">
        <v>6.6</v>
      </c>
      <c r="C4" s="5">
        <v>5.3</v>
      </c>
      <c r="D4" s="4">
        <v>8.4</v>
      </c>
      <c r="E4" s="4">
        <v>7.4</v>
      </c>
      <c r="F4" s="5">
        <v>4.5999999999999996</v>
      </c>
      <c r="G4" s="5">
        <v>6.1</v>
      </c>
      <c r="I4" s="6">
        <f>AVERAGE(D4:E4)</f>
        <v>7.9</v>
      </c>
      <c r="J4" s="6"/>
    </row>
    <row r="5" spans="1:12" ht="15" x14ac:dyDescent="0.3">
      <c r="A5" s="4">
        <v>3</v>
      </c>
      <c r="B5" s="4">
        <v>9.1999999999999993</v>
      </c>
      <c r="C5" s="5">
        <v>6.8</v>
      </c>
      <c r="D5" s="4">
        <v>7.4</v>
      </c>
      <c r="E5" s="4">
        <v>23.3</v>
      </c>
      <c r="F5" s="4">
        <v>15.1</v>
      </c>
      <c r="G5" s="4">
        <v>19.600000000000001</v>
      </c>
      <c r="I5" s="6">
        <f>AVERAGE(B5,D5:G5)</f>
        <v>14.920000000000002</v>
      </c>
      <c r="J5" s="6"/>
    </row>
    <row r="6" spans="1:12" ht="15" x14ac:dyDescent="0.3">
      <c r="A6" s="4">
        <v>4</v>
      </c>
      <c r="B6" s="4">
        <v>14.2</v>
      </c>
      <c r="C6" s="4">
        <v>14.9</v>
      </c>
      <c r="D6" s="4">
        <v>8.9</v>
      </c>
      <c r="E6" s="4">
        <v>18.100000000000001</v>
      </c>
      <c r="F6" s="5">
        <v>6.1</v>
      </c>
      <c r="G6" s="4">
        <v>11.4</v>
      </c>
      <c r="I6" s="6">
        <f>AVERAGE(B6:E6,G6)</f>
        <v>13.5</v>
      </c>
      <c r="J6" s="6"/>
      <c r="L6" s="4" t="s">
        <v>4</v>
      </c>
    </row>
    <row r="7" spans="1:12" ht="15" x14ac:dyDescent="0.3">
      <c r="A7" s="4">
        <v>5</v>
      </c>
      <c r="B7" s="5">
        <v>6.3</v>
      </c>
      <c r="C7" s="4">
        <v>8.4</v>
      </c>
      <c r="D7" s="4">
        <v>16.3</v>
      </c>
      <c r="E7" s="5">
        <v>5.6</v>
      </c>
      <c r="F7" s="4">
        <v>7.1</v>
      </c>
      <c r="G7" s="5">
        <v>5.5</v>
      </c>
      <c r="I7" s="6">
        <f>AVERAGE(C7:D7,F7)</f>
        <v>10.600000000000001</v>
      </c>
      <c r="J7" s="6" t="s">
        <v>84</v>
      </c>
      <c r="K7" s="6">
        <f>AVERAGE(F3,F4,G4,B4:C4,C5,F6,G7,E7,B7,B8)</f>
        <v>5.8454545454545448</v>
      </c>
      <c r="L7" s="6">
        <f>STDEV(F3,G4,F4,C4,C4,B4,C4,C5,F6,E7,E8:F8,G7)</f>
        <v>0.64081278517288265</v>
      </c>
    </row>
    <row r="8" spans="1:12" ht="15" x14ac:dyDescent="0.3">
      <c r="A8" s="4">
        <v>6</v>
      </c>
      <c r="B8" s="5">
        <v>5.6</v>
      </c>
      <c r="C8" s="4">
        <v>6.6</v>
      </c>
      <c r="D8" s="4">
        <v>6.7</v>
      </c>
      <c r="E8" s="5">
        <v>6.2</v>
      </c>
      <c r="F8" s="4">
        <v>6.6</v>
      </c>
      <c r="G8" s="4">
        <v>6.6</v>
      </c>
      <c r="I8" s="6"/>
      <c r="J8" s="6"/>
      <c r="L8" s="6"/>
    </row>
    <row r="9" spans="1:12" ht="15" x14ac:dyDescent="0.3">
      <c r="A9" s="4">
        <v>7</v>
      </c>
      <c r="B9" s="5">
        <v>6.7</v>
      </c>
      <c r="C9" s="4">
        <v>13</v>
      </c>
      <c r="D9" s="5">
        <v>6.5</v>
      </c>
      <c r="E9" s="5">
        <v>6.5</v>
      </c>
      <c r="F9" s="4">
        <v>8.3000000000000007</v>
      </c>
      <c r="G9" s="4">
        <v>8.3000000000000007</v>
      </c>
      <c r="I9" s="6">
        <f>AVERAGE(C9,F9:G9)</f>
        <v>9.8666666666666671</v>
      </c>
      <c r="J9" s="6"/>
      <c r="K9" s="6"/>
      <c r="L9" s="6"/>
    </row>
    <row r="10" spans="1:12" x14ac:dyDescent="0.3">
      <c r="A10" s="4">
        <v>8</v>
      </c>
      <c r="B10" s="4">
        <v>9.1</v>
      </c>
      <c r="C10" s="4">
        <v>11.9</v>
      </c>
      <c r="D10" s="4">
        <v>13.8</v>
      </c>
      <c r="E10" s="4">
        <v>9.9</v>
      </c>
      <c r="F10" s="4">
        <v>18.8</v>
      </c>
      <c r="G10" s="4">
        <v>16.5</v>
      </c>
      <c r="I10" s="6">
        <f>AVERAGE(B10:G10)</f>
        <v>13.333333333333334</v>
      </c>
      <c r="J10" s="6"/>
      <c r="K10" s="6"/>
      <c r="L10" s="6"/>
    </row>
    <row r="11" spans="1:12" ht="15" x14ac:dyDescent="0.3">
      <c r="A11" s="4">
        <v>9</v>
      </c>
      <c r="B11" s="5">
        <v>6.3</v>
      </c>
      <c r="C11" s="4">
        <v>8.1999999999999993</v>
      </c>
      <c r="D11" s="5">
        <v>5.5</v>
      </c>
      <c r="E11" s="4">
        <v>8.1999999999999993</v>
      </c>
      <c r="F11" s="4">
        <v>10.1</v>
      </c>
      <c r="G11" s="4">
        <v>11.1</v>
      </c>
      <c r="I11" s="6">
        <f>AVERAGE(C11,E11:G11)</f>
        <v>9.4</v>
      </c>
      <c r="J11" s="6" t="s">
        <v>100</v>
      </c>
      <c r="K11" s="6">
        <f>AVERAGE(D4,E4,C11,E11,F11,G11)</f>
        <v>8.9</v>
      </c>
      <c r="L11" s="6">
        <f>STDEV(C7,F7,D4,E4,C11,E11,F11,G11)</f>
        <v>1.341041705966985</v>
      </c>
    </row>
    <row r="12" spans="1:12" ht="15" x14ac:dyDescent="0.3">
      <c r="A12" s="4">
        <v>10</v>
      </c>
      <c r="B12" s="5">
        <v>6.6</v>
      </c>
      <c r="C12" s="4">
        <v>9.4</v>
      </c>
      <c r="D12" s="4">
        <v>8</v>
      </c>
      <c r="E12" s="4">
        <v>9.9</v>
      </c>
      <c r="F12" s="4">
        <v>7.7</v>
      </c>
      <c r="G12" s="4">
        <v>8.6</v>
      </c>
      <c r="I12" s="6">
        <f>AVERAGE(C12:G12)</f>
        <v>8.7200000000000006</v>
      </c>
      <c r="J12" s="6" t="s">
        <v>101</v>
      </c>
      <c r="K12" s="6">
        <f>AVERAGE(B3,C3,D3,E3,G3,C12,D12,E12,F12,G12)</f>
        <v>9.9700000000000006</v>
      </c>
      <c r="L12" s="6">
        <f>STDEV(C13,B13,D13,F13,G13,G12,F12,E12,D12,C12)</f>
        <v>2.5961723962616761</v>
      </c>
    </row>
    <row r="13" spans="1:12" ht="15" x14ac:dyDescent="0.3">
      <c r="A13" s="4">
        <v>11</v>
      </c>
      <c r="B13" s="4">
        <v>9.1999999999999993</v>
      </c>
      <c r="C13" s="4">
        <v>12.3</v>
      </c>
      <c r="D13" s="4">
        <v>7</v>
      </c>
      <c r="E13" s="5">
        <v>6.7</v>
      </c>
      <c r="F13" s="4">
        <v>10.8</v>
      </c>
      <c r="G13" s="4">
        <v>15.8</v>
      </c>
      <c r="I13" s="6">
        <f>AVERAGE(B13:D13,F13:G13)</f>
        <v>11.02</v>
      </c>
      <c r="J13" s="6" t="s">
        <v>85</v>
      </c>
      <c r="K13" s="6">
        <f>AVERAGE(E5,F5,G5,B6,C6,E6)</f>
        <v>17.533333333333335</v>
      </c>
      <c r="L13" s="6">
        <f>STDEV(E5,E6,F10,F5,G5)</f>
        <v>2.9541496238342484</v>
      </c>
    </row>
    <row r="14" spans="1:12" x14ac:dyDescent="0.3">
      <c r="A14" s="4">
        <v>12</v>
      </c>
      <c r="B14" s="4">
        <v>8.6999999999999993</v>
      </c>
      <c r="C14" s="4">
        <v>11.3</v>
      </c>
      <c r="D14" s="4">
        <v>13.4</v>
      </c>
      <c r="E14" s="4">
        <v>11.1</v>
      </c>
      <c r="F14" s="4">
        <v>7</v>
      </c>
      <c r="G14" s="4">
        <v>12.6</v>
      </c>
      <c r="I14" s="6">
        <f>AVERAGE(B14:G14)</f>
        <v>10.683333333333332</v>
      </c>
      <c r="J14" s="6"/>
      <c r="K14" s="6"/>
      <c r="L14" s="6"/>
    </row>
    <row r="15" spans="1:12" x14ac:dyDescent="0.3">
      <c r="A15" s="4">
        <v>14</v>
      </c>
      <c r="B15" s="4">
        <v>8.1999999999999993</v>
      </c>
      <c r="C15" s="4">
        <v>10.5</v>
      </c>
      <c r="D15" s="4">
        <v>7.4</v>
      </c>
      <c r="E15" s="4">
        <v>16.399999999999999</v>
      </c>
      <c r="F15" s="4">
        <v>9.4</v>
      </c>
      <c r="G15" s="4">
        <v>9.6999999999999993</v>
      </c>
      <c r="I15" s="6">
        <f>AVERAGE(B15:G15)</f>
        <v>10.266666666666666</v>
      </c>
      <c r="J15" s="6" t="s">
        <v>86</v>
      </c>
      <c r="K15" s="6">
        <f>AVERAGE(B14,B15,C14,C15,D14,D15,E14,F14,F15,G14,G15)</f>
        <v>9.9363636363636356</v>
      </c>
      <c r="L15" s="6">
        <f>STDEV(B15,D15,F15:G15,E16,D16)</f>
        <v>1.2659647177811197</v>
      </c>
    </row>
    <row r="16" spans="1:12" ht="15" x14ac:dyDescent="0.3">
      <c r="A16" s="4">
        <v>15</v>
      </c>
      <c r="B16" s="5">
        <v>5.6</v>
      </c>
      <c r="C16" s="4">
        <v>13.2</v>
      </c>
      <c r="D16" s="4">
        <v>11</v>
      </c>
      <c r="E16" s="4">
        <v>9.6999999999999993</v>
      </c>
      <c r="I16" s="6">
        <f>AVERAGE(C16:E16)</f>
        <v>11.299999999999999</v>
      </c>
      <c r="J16" s="6"/>
      <c r="L16" s="6"/>
    </row>
    <row r="17" spans="1:12" x14ac:dyDescent="0.3">
      <c r="A17" s="4" t="s">
        <v>108</v>
      </c>
    </row>
    <row r="18" spans="1:12" ht="15" x14ac:dyDescent="0.3">
      <c r="A18" s="4" t="s">
        <v>85</v>
      </c>
      <c r="B18" s="4">
        <v>26.6</v>
      </c>
      <c r="C18" s="4">
        <v>27.4</v>
      </c>
      <c r="D18" s="4">
        <v>22.4</v>
      </c>
      <c r="E18" s="4">
        <v>25.4</v>
      </c>
      <c r="F18" s="4">
        <v>23.7</v>
      </c>
      <c r="I18" s="6">
        <f>AVERAGE(B18:F19)</f>
        <v>24.330000000000002</v>
      </c>
      <c r="J18" s="6">
        <f>STDEV(B19,B18,C18,C19:D19,D18,E18,E19:F19,F18)</f>
        <v>2.0094498970835004</v>
      </c>
      <c r="K18" s="5">
        <f>AVERAGE(B18:C18,E18,F18,F19,D19,C19,B19)</f>
        <v>24.962500000000002</v>
      </c>
      <c r="L18" s="5">
        <f>STDEV(B18:C19,D19,E18,F18,F19)</f>
        <v>1.6741202380440219</v>
      </c>
    </row>
    <row r="19" spans="1:12" x14ac:dyDescent="0.3">
      <c r="B19" s="4">
        <v>23.9</v>
      </c>
      <c r="C19" s="4">
        <v>26.3</v>
      </c>
      <c r="D19" s="4">
        <v>23</v>
      </c>
      <c r="E19" s="4">
        <v>21.2</v>
      </c>
      <c r="F19" s="4">
        <v>23.4</v>
      </c>
      <c r="I19" s="6"/>
      <c r="J19" s="6"/>
    </row>
    <row r="20" spans="1:12" x14ac:dyDescent="0.3">
      <c r="A20" s="4" t="s">
        <v>86</v>
      </c>
      <c r="B20" s="4">
        <v>27.3</v>
      </c>
      <c r="C20" s="4">
        <v>23.9</v>
      </c>
      <c r="D20" s="4">
        <v>24.8</v>
      </c>
      <c r="E20" s="4">
        <v>25.6</v>
      </c>
      <c r="F20" s="4">
        <v>28.2</v>
      </c>
      <c r="G20" s="4">
        <v>30.1</v>
      </c>
      <c r="I20" s="6">
        <f>AVERAGE(B20:D21,E20,F20,G21,B20,F20)</f>
        <v>24.481818181818184</v>
      </c>
      <c r="J20" s="6">
        <f>STDEV(B20,C21,C20,D20,E20,F21,F20,G20,G21)</f>
        <v>2.9179520976953182</v>
      </c>
    </row>
    <row r="21" spans="1:12" x14ac:dyDescent="0.3">
      <c r="B21" s="4">
        <v>20.6</v>
      </c>
      <c r="C21" s="4">
        <v>22.8</v>
      </c>
      <c r="D21" s="4">
        <v>17.7</v>
      </c>
      <c r="E21" s="4">
        <v>9.1</v>
      </c>
      <c r="F21" s="4">
        <v>30.4</v>
      </c>
      <c r="G21" s="4">
        <v>22.9</v>
      </c>
      <c r="H21" s="4">
        <v>31.9</v>
      </c>
      <c r="I21" s="6"/>
      <c r="J21" s="6"/>
    </row>
    <row r="22" spans="1:12" x14ac:dyDescent="0.3">
      <c r="A22" s="4" t="s">
        <v>100</v>
      </c>
      <c r="B22" s="4">
        <v>29.4</v>
      </c>
      <c r="C22" s="4">
        <v>14.8</v>
      </c>
      <c r="D22" s="4">
        <v>27.7</v>
      </c>
      <c r="E22" s="4">
        <v>17.899999999999999</v>
      </c>
      <c r="F22" s="4">
        <v>27.8</v>
      </c>
      <c r="G22" s="4">
        <v>21.6</v>
      </c>
      <c r="I22" s="6">
        <f>AVERAGE(B22:G23)</f>
        <v>22.658333333333335</v>
      </c>
      <c r="J22" s="6">
        <f>STDEV(B22,B23,D22,D23,E23,F22,G22,G23)</f>
        <v>3.1320634458087535</v>
      </c>
    </row>
    <row r="23" spans="1:12" x14ac:dyDescent="0.3">
      <c r="B23" s="4">
        <v>29.1</v>
      </c>
      <c r="C23" s="4">
        <v>13.4</v>
      </c>
      <c r="D23" s="4">
        <v>25.9</v>
      </c>
      <c r="E23" s="4">
        <v>26.1</v>
      </c>
      <c r="F23" s="4">
        <v>16.899999999999999</v>
      </c>
      <c r="G23" s="4">
        <v>21.3</v>
      </c>
      <c r="I23" s="6"/>
      <c r="J23" s="6"/>
    </row>
    <row r="24" spans="1:12" x14ac:dyDescent="0.3">
      <c r="A24" s="4" t="s">
        <v>101</v>
      </c>
      <c r="B24" s="4">
        <v>18.899999999999999</v>
      </c>
      <c r="C24" s="4">
        <v>14.5</v>
      </c>
      <c r="D24" s="4">
        <v>20.3</v>
      </c>
      <c r="E24" s="4">
        <v>26.8</v>
      </c>
      <c r="F24" s="4">
        <v>27.4</v>
      </c>
      <c r="G24" s="4">
        <v>31.2</v>
      </c>
      <c r="I24" s="6">
        <f>AVERAGE(B24:G25)</f>
        <v>21.983333333333331</v>
      </c>
      <c r="J24" s="6">
        <f>STDEV(B24,C25,D24,D25,E24,F25,F24,G25,E25)</f>
        <v>3.7848381735551033</v>
      </c>
    </row>
    <row r="25" spans="1:12" x14ac:dyDescent="0.3">
      <c r="B25" s="4">
        <v>13.5</v>
      </c>
      <c r="C25" s="4">
        <v>20.100000000000001</v>
      </c>
      <c r="D25" s="4">
        <v>23</v>
      </c>
      <c r="E25" s="4">
        <v>17.100000000000001</v>
      </c>
      <c r="F25" s="4">
        <v>24.6</v>
      </c>
      <c r="G25" s="4">
        <v>26.4</v>
      </c>
      <c r="I25" s="6"/>
      <c r="J25" s="6"/>
    </row>
    <row r="26" spans="1:12" x14ac:dyDescent="0.3">
      <c r="A26" s="4" t="s">
        <v>84</v>
      </c>
      <c r="B26" s="4">
        <v>6.3</v>
      </c>
      <c r="C26" s="4">
        <v>7.7</v>
      </c>
      <c r="I26" s="6">
        <f>AVERAGE(B26:G27)</f>
        <v>5.5250000000000004</v>
      </c>
      <c r="J26" s="6">
        <f>STDEV(B26,C26:C27,D27,E27,F27,B27)</f>
        <v>1.0526610271570027</v>
      </c>
    </row>
    <row r="27" spans="1:12" x14ac:dyDescent="0.3">
      <c r="B27" s="4">
        <v>4.5999999999999996</v>
      </c>
      <c r="C27" s="4">
        <v>5.0999999999999996</v>
      </c>
      <c r="D27" s="4">
        <v>5.9</v>
      </c>
      <c r="E27" s="4">
        <v>4.9000000000000004</v>
      </c>
      <c r="F27" s="4">
        <v>5.5</v>
      </c>
      <c r="G27" s="4">
        <v>4.2</v>
      </c>
      <c r="I27" s="6"/>
      <c r="J27" s="6"/>
    </row>
    <row r="28" spans="1:12" x14ac:dyDescent="0.3">
      <c r="A28" s="4" t="s">
        <v>107</v>
      </c>
      <c r="I28" s="6"/>
      <c r="J28" s="6"/>
    </row>
    <row r="29" spans="1:12" ht="15" x14ac:dyDescent="0.3">
      <c r="A29" s="4" t="s">
        <v>85</v>
      </c>
      <c r="B29" s="4">
        <v>21.7</v>
      </c>
      <c r="C29" s="4">
        <v>33</v>
      </c>
      <c r="D29" s="4">
        <v>28.6</v>
      </c>
      <c r="E29" s="4">
        <v>31.2</v>
      </c>
      <c r="F29" s="4">
        <v>27.4</v>
      </c>
      <c r="G29" s="4">
        <v>25.2</v>
      </c>
      <c r="I29" s="16">
        <f>AVERAGE(B29:B30,C29,D29,E29,E30,F29,G29)</f>
        <v>27.349999999999998</v>
      </c>
      <c r="J29" s="16">
        <f>STDEV(B29,B30,C30,D29,D30,E30,E29,F29,G29)</f>
        <v>3.3199313915267221</v>
      </c>
    </row>
    <row r="30" spans="1:12" x14ac:dyDescent="0.3">
      <c r="B30" s="4">
        <v>25.2</v>
      </c>
      <c r="C30" s="4">
        <v>23.8</v>
      </c>
      <c r="D30" s="4">
        <v>20.6</v>
      </c>
      <c r="E30" s="4">
        <v>26.5</v>
      </c>
      <c r="I30" s="13"/>
      <c r="J30" s="13"/>
    </row>
    <row r="31" spans="1:12" ht="15" x14ac:dyDescent="0.3">
      <c r="A31" s="4" t="s">
        <v>86</v>
      </c>
      <c r="B31" s="4">
        <v>24.9</v>
      </c>
      <c r="C31" s="4">
        <v>31.6</v>
      </c>
      <c r="D31" s="4">
        <v>23.7</v>
      </c>
      <c r="E31" s="4">
        <v>26.9</v>
      </c>
      <c r="F31" s="4">
        <v>30.7</v>
      </c>
      <c r="G31" s="4">
        <v>24.9</v>
      </c>
      <c r="I31" s="16">
        <f>AVERAGE(B31,B32,C32,D32,D31,E31,E32,G31)</f>
        <v>24.695000000000004</v>
      </c>
      <c r="J31" s="16">
        <f>STDEV(B31,B32,C32,D32,D31,E31,E32,G31)</f>
        <v>1.5570301400881286</v>
      </c>
    </row>
    <row r="32" spans="1:12" x14ac:dyDescent="0.3">
      <c r="B32" s="4">
        <v>25.6</v>
      </c>
      <c r="C32" s="4">
        <v>23.2</v>
      </c>
      <c r="D32" s="4">
        <v>22.25</v>
      </c>
      <c r="E32" s="4">
        <v>26.11</v>
      </c>
      <c r="I32" s="13"/>
      <c r="J32" s="13"/>
    </row>
    <row r="33" spans="1:12" ht="15" x14ac:dyDescent="0.3">
      <c r="A33" s="4" t="s">
        <v>100</v>
      </c>
      <c r="B33" s="4">
        <v>31.4</v>
      </c>
      <c r="C33" s="4">
        <v>22.9</v>
      </c>
      <c r="D33" s="4">
        <v>22.2</v>
      </c>
      <c r="E33" s="4">
        <v>27.1</v>
      </c>
      <c r="F33" s="4">
        <v>16.3</v>
      </c>
      <c r="I33" s="16">
        <f>AVERAGE(C33,C34,B34,D34,D33,E33,E34,F33)</f>
        <v>23.150000000000002</v>
      </c>
      <c r="J33" s="16">
        <f>STDEV(C33,C34,B34,B33,D33,D34,E33,E34)</f>
        <v>3.4969119029713736</v>
      </c>
    </row>
    <row r="34" spans="1:12" x14ac:dyDescent="0.3">
      <c r="B34" s="4">
        <v>21.5</v>
      </c>
      <c r="C34" s="4">
        <v>28.3</v>
      </c>
      <c r="D34" s="4">
        <v>23.3</v>
      </c>
      <c r="E34" s="4">
        <v>23.6</v>
      </c>
      <c r="I34" s="13"/>
      <c r="J34" s="13"/>
    </row>
    <row r="35" spans="1:12" ht="15" x14ac:dyDescent="0.3">
      <c r="A35" s="4" t="s">
        <v>101</v>
      </c>
      <c r="B35" s="4">
        <v>5.2</v>
      </c>
      <c r="C35" s="4">
        <v>14.8</v>
      </c>
      <c r="D35" s="4">
        <v>17.2</v>
      </c>
      <c r="E35" s="4">
        <v>15.6</v>
      </c>
      <c r="F35" s="4">
        <v>17.8</v>
      </c>
      <c r="I35" s="16">
        <f>AVERAGE(B36,C36,C35,D35,E35,F35,F36,D36)</f>
        <v>18.275000000000002</v>
      </c>
      <c r="J35" s="16">
        <f>STDEV(B36,C36,C35,D35,D36,E35,F35,F36)</f>
        <v>3.2617917950546493</v>
      </c>
    </row>
    <row r="36" spans="1:12" x14ac:dyDescent="0.3">
      <c r="B36" s="4">
        <v>24.6</v>
      </c>
      <c r="C36" s="4">
        <v>15.8</v>
      </c>
      <c r="D36" s="4">
        <v>19.8</v>
      </c>
      <c r="E36" s="4">
        <v>7</v>
      </c>
      <c r="F36" s="4">
        <v>20.6</v>
      </c>
      <c r="I36" s="13"/>
      <c r="J36" s="13"/>
    </row>
    <row r="37" spans="1:12" ht="15" x14ac:dyDescent="0.3">
      <c r="A37" s="4" t="s">
        <v>84</v>
      </c>
      <c r="B37" s="4">
        <v>4.7</v>
      </c>
      <c r="C37" s="4">
        <v>4.3</v>
      </c>
      <c r="D37" s="4">
        <v>3.9</v>
      </c>
      <c r="E37" s="4">
        <v>6.1</v>
      </c>
      <c r="F37" s="4">
        <v>6.1</v>
      </c>
      <c r="G37" s="4">
        <v>8.3000000000000007</v>
      </c>
      <c r="H37" s="4">
        <v>7.3</v>
      </c>
      <c r="I37" s="16">
        <f>AVERAGE(B37,B38,C37,D37,E37,F37,G37,H37)</f>
        <v>5.875</v>
      </c>
      <c r="J37" s="16">
        <f>STDEV(B37:B38,C37,D37,E37,F37,G37,H37)</f>
        <v>1.509730344891336</v>
      </c>
    </row>
    <row r="38" spans="1:12" x14ac:dyDescent="0.3">
      <c r="B38" s="4">
        <v>6.3</v>
      </c>
      <c r="I38" s="6"/>
      <c r="J38" s="6"/>
    </row>
    <row r="39" spans="1:12" x14ac:dyDescent="0.3">
      <c r="A39" s="17" t="s">
        <v>106</v>
      </c>
    </row>
    <row r="40" spans="1:12" ht="15" x14ac:dyDescent="0.3">
      <c r="A40" s="4" t="s">
        <v>85</v>
      </c>
      <c r="B40" s="4">
        <v>30.9</v>
      </c>
      <c r="C40" s="4">
        <v>26.8</v>
      </c>
      <c r="D40" s="4">
        <v>30.3</v>
      </c>
      <c r="E40" s="4">
        <v>26.7</v>
      </c>
      <c r="I40" s="6">
        <f>AVERAGE(B40,B41,C40,D40,D41,E40,E41,F41,G41)</f>
        <v>27.466666666666665</v>
      </c>
      <c r="J40" s="6">
        <f>STDEV(B40,B41,C40,D40,D41,E40,F41,G41)</f>
        <v>1.871926051652987</v>
      </c>
      <c r="K40" s="7">
        <f>AVERAGE(B40,B41,C40,D40,D41,E40,F41,G41)</f>
        <v>27.887499999999999</v>
      </c>
      <c r="L40" s="5">
        <f>STDEV(B41,C40,D40,D41,E40,E41,F41,G41)</f>
        <v>1.85236335528427</v>
      </c>
    </row>
    <row r="41" spans="1:12" x14ac:dyDescent="0.3">
      <c r="B41" s="4">
        <v>26.3</v>
      </c>
      <c r="C41" s="4">
        <v>4.9000000000000004</v>
      </c>
      <c r="D41" s="4">
        <v>28.9</v>
      </c>
      <c r="E41" s="4">
        <v>24.1</v>
      </c>
      <c r="F41" s="4">
        <v>26.3</v>
      </c>
      <c r="G41" s="4">
        <v>26.9</v>
      </c>
      <c r="I41" s="6"/>
      <c r="J41" s="6"/>
      <c r="K41" s="6"/>
    </row>
    <row r="42" spans="1:12" x14ac:dyDescent="0.3">
      <c r="A42" s="4" t="s">
        <v>86</v>
      </c>
      <c r="B42" s="4">
        <v>19.2</v>
      </c>
      <c r="C42" s="4">
        <v>28</v>
      </c>
      <c r="D42" s="4">
        <v>30.1</v>
      </c>
      <c r="E42" s="4">
        <v>22.1</v>
      </c>
      <c r="F42" s="4">
        <v>31.7</v>
      </c>
      <c r="G42" s="4">
        <v>33.299999999999997</v>
      </c>
      <c r="I42" s="6">
        <f>AVERAGE(B42,C42,E42,F43,D43,C43)</f>
        <v>25.333333333333332</v>
      </c>
      <c r="J42" s="6" t="e">
        <f>STDEV(#REF!,C42,D42,#REF!,E42,#REF!,F42,#REF!,#REF!,E42)</f>
        <v>#REF!</v>
      </c>
      <c r="K42" s="6"/>
    </row>
    <row r="43" spans="1:12" x14ac:dyDescent="0.3">
      <c r="B43" s="4">
        <v>31.7</v>
      </c>
      <c r="C43" s="4">
        <v>30.5</v>
      </c>
      <c r="D43" s="4">
        <v>21.2</v>
      </c>
      <c r="E43" s="4">
        <v>33.299999999999997</v>
      </c>
      <c r="F43" s="4">
        <v>31</v>
      </c>
      <c r="I43" s="6"/>
      <c r="J43" s="6"/>
      <c r="K43" s="6"/>
    </row>
    <row r="44" spans="1:12" x14ac:dyDescent="0.3">
      <c r="A44" s="4" t="s">
        <v>100</v>
      </c>
      <c r="B44" s="4">
        <v>26.5</v>
      </c>
      <c r="C44" s="4">
        <v>28.3</v>
      </c>
      <c r="D44" s="4">
        <v>33.299999999999997</v>
      </c>
      <c r="E44" s="4">
        <v>33.299999999999997</v>
      </c>
      <c r="F44" s="4">
        <v>26.4</v>
      </c>
      <c r="I44" s="6">
        <f>AVERAGE(B44,B45,C44,C45,F44,G45)</f>
        <v>24.866666666666671</v>
      </c>
      <c r="J44" s="6">
        <f>STDEV(B44,C44,C45,D45,D44,E44,E45,F45,F44)</f>
        <v>3.0586398574820426</v>
      </c>
      <c r="K44" s="6"/>
    </row>
    <row r="45" spans="1:12" x14ac:dyDescent="0.3">
      <c r="B45" s="4">
        <v>19.7</v>
      </c>
      <c r="C45" s="4">
        <v>32</v>
      </c>
      <c r="D45" s="4">
        <v>33.299999999999997</v>
      </c>
      <c r="E45" s="4">
        <v>33.299999999999997</v>
      </c>
      <c r="F45" s="4">
        <v>33</v>
      </c>
      <c r="G45" s="4">
        <v>16.3</v>
      </c>
      <c r="I45" s="6"/>
      <c r="J45" s="6"/>
      <c r="K45" s="6"/>
    </row>
    <row r="46" spans="1:12" x14ac:dyDescent="0.3">
      <c r="A46" s="4" t="s">
        <v>101</v>
      </c>
      <c r="B46" s="4">
        <v>29</v>
      </c>
      <c r="C46" s="4">
        <v>10.9</v>
      </c>
      <c r="D46" s="4">
        <v>26.8</v>
      </c>
      <c r="E46" s="4">
        <v>17</v>
      </c>
      <c r="F46" s="4">
        <v>30.8</v>
      </c>
      <c r="I46" s="6">
        <f>AVERAGE(B46,B47,C46,D46,D47,E46,E47)</f>
        <v>20.428571428571427</v>
      </c>
      <c r="J46" s="6">
        <f>STDEV(B46,B47,C47,D46,F46)</f>
        <v>2.4047868928451841</v>
      </c>
      <c r="K46" s="6"/>
    </row>
    <row r="47" spans="1:12" x14ac:dyDescent="0.3">
      <c r="B47" s="4">
        <v>29.3</v>
      </c>
      <c r="C47" s="4">
        <v>33.299999999999997</v>
      </c>
      <c r="D47" s="4">
        <v>21.7</v>
      </c>
      <c r="E47" s="4">
        <v>8.3000000000000007</v>
      </c>
      <c r="I47" s="6"/>
      <c r="J47" s="6"/>
      <c r="K47" s="6"/>
    </row>
    <row r="48" spans="1:12" x14ac:dyDescent="0.3">
      <c r="A48" s="4" t="s">
        <v>84</v>
      </c>
      <c r="B48" s="4">
        <v>3.2</v>
      </c>
      <c r="C48" s="4">
        <v>4.7</v>
      </c>
      <c r="D48" s="4">
        <v>4.5999999999999996</v>
      </c>
      <c r="E48" s="4">
        <v>3.8</v>
      </c>
      <c r="F48" s="4">
        <v>6.4</v>
      </c>
      <c r="G48" s="4">
        <v>5.5</v>
      </c>
      <c r="I48" s="6">
        <f>AVERAGE(B48:G48)</f>
        <v>4.7</v>
      </c>
      <c r="J48" s="6">
        <f>STDEV(C48,D48,E48,F48:G48,E48)</f>
        <v>1.0099504938362072</v>
      </c>
      <c r="K48" s="6"/>
    </row>
    <row r="49" spans="1:15" x14ac:dyDescent="0.3">
      <c r="A49" s="4" t="s">
        <v>105</v>
      </c>
      <c r="I49" s="6"/>
      <c r="J49" s="6"/>
      <c r="K49" s="6"/>
      <c r="L49" s="4">
        <v>10.7</v>
      </c>
    </row>
    <row r="50" spans="1:15" ht="15" x14ac:dyDescent="0.3">
      <c r="A50" s="4" t="s">
        <v>85</v>
      </c>
      <c r="B50" s="4">
        <v>29.76</v>
      </c>
      <c r="C50" s="4">
        <v>24.3</v>
      </c>
      <c r="D50" s="4">
        <v>33.299999999999997</v>
      </c>
      <c r="E50" s="4">
        <v>25.2</v>
      </c>
      <c r="F50" s="4">
        <v>33.299999999999997</v>
      </c>
      <c r="I50" s="7">
        <f>AVERAGE(B51,C50,C51,B50,D51,E50,E51,F51)</f>
        <v>27.7075</v>
      </c>
      <c r="J50" s="7">
        <f>STDEV(B51,C51,D51,D50,B50,F50,F51,E51)</f>
        <v>2.245166236288846</v>
      </c>
      <c r="K50" s="6"/>
      <c r="L50" s="4">
        <v>16.2</v>
      </c>
    </row>
    <row r="51" spans="1:15" x14ac:dyDescent="0.3">
      <c r="B51" s="4">
        <v>28.3</v>
      </c>
      <c r="C51" s="4">
        <v>27.3</v>
      </c>
      <c r="D51" s="4">
        <v>28.9</v>
      </c>
      <c r="E51" s="4">
        <v>28.8</v>
      </c>
      <c r="F51" s="4">
        <v>29.1</v>
      </c>
      <c r="I51" s="6"/>
      <c r="J51" s="6"/>
      <c r="K51" s="6"/>
      <c r="L51" s="4">
        <v>16.2</v>
      </c>
    </row>
    <row r="52" spans="1:15" ht="15" x14ac:dyDescent="0.3">
      <c r="A52" s="4" t="s">
        <v>86</v>
      </c>
      <c r="B52" s="4">
        <v>23.6</v>
      </c>
      <c r="C52" s="4">
        <v>33.299999999999997</v>
      </c>
      <c r="D52" s="4">
        <v>22.8</v>
      </c>
      <c r="E52" s="4">
        <v>19.2</v>
      </c>
      <c r="F52" s="4">
        <v>30.1</v>
      </c>
      <c r="G52" s="4">
        <v>22.3</v>
      </c>
      <c r="I52" s="7">
        <f>AVERAGE(B52,B53,C53,D53,D52,E52,E53,G52)</f>
        <v>22.55</v>
      </c>
      <c r="J52" s="7">
        <f>STDEV(B52:B53,C53,D53,D52,E52,E53,G52)</f>
        <v>2.0535683229790185</v>
      </c>
      <c r="K52" s="6"/>
      <c r="L52" s="4">
        <v>12.9</v>
      </c>
    </row>
    <row r="53" spans="1:15" x14ac:dyDescent="0.3">
      <c r="B53" s="4">
        <v>24.2</v>
      </c>
      <c r="C53" s="4">
        <v>21.7</v>
      </c>
      <c r="D53" s="4">
        <v>20.8</v>
      </c>
      <c r="E53" s="4">
        <v>25.8</v>
      </c>
      <c r="F53" s="4">
        <v>31.2</v>
      </c>
      <c r="I53" s="6"/>
      <c r="J53" s="6"/>
      <c r="K53" s="6"/>
      <c r="L53" s="4">
        <v>20.9</v>
      </c>
    </row>
    <row r="54" spans="1:15" ht="15" x14ac:dyDescent="0.3">
      <c r="A54" s="4" t="s">
        <v>100</v>
      </c>
      <c r="B54" s="4">
        <v>30.2</v>
      </c>
      <c r="C54" s="4">
        <v>20.6</v>
      </c>
      <c r="D54" s="4">
        <v>29.9</v>
      </c>
      <c r="E54" s="4">
        <v>21.6</v>
      </c>
      <c r="F54" s="4">
        <v>30.2</v>
      </c>
      <c r="I54" s="7">
        <f>AVERAGE(B55,C55,C54,D55,E55,E54,F55,G56,G55,G56)</f>
        <v>22.4375</v>
      </c>
      <c r="J54" s="7">
        <f>STDEV(B55,C55,C54,D55,E55,E54,F55,G55)</f>
        <v>2.0226838606168789</v>
      </c>
      <c r="K54" s="6"/>
      <c r="L54" s="4">
        <v>15.2</v>
      </c>
    </row>
    <row r="55" spans="1:15" ht="15" x14ac:dyDescent="0.3">
      <c r="B55" s="4">
        <v>22.1</v>
      </c>
      <c r="C55" s="4">
        <v>23.2</v>
      </c>
      <c r="D55" s="4">
        <v>24.3</v>
      </c>
      <c r="E55" s="4">
        <v>26.1</v>
      </c>
      <c r="F55" s="4">
        <v>19.899999999999999</v>
      </c>
      <c r="G55" s="4">
        <v>21.7</v>
      </c>
      <c r="I55" s="7"/>
      <c r="J55" s="7"/>
      <c r="K55" s="6"/>
    </row>
    <row r="56" spans="1:15" ht="15" x14ac:dyDescent="0.3">
      <c r="A56" s="4" t="s">
        <v>101</v>
      </c>
      <c r="B56" s="4">
        <v>10.7</v>
      </c>
      <c r="C56" s="4">
        <v>16.2</v>
      </c>
      <c r="D56" s="4">
        <v>25.9</v>
      </c>
      <c r="E56" s="4">
        <v>16.2</v>
      </c>
      <c r="F56" s="4">
        <v>13.5</v>
      </c>
      <c r="I56" s="7">
        <f>AVERAGE(B56:B57,C56,C57,E56,E57,F56,F57)</f>
        <v>14.437499999999998</v>
      </c>
      <c r="J56" s="7">
        <f>STDEV(B56,B57,C56,C57,E56,E57,F56,F57)</f>
        <v>3.5124014983646634</v>
      </c>
      <c r="K56" s="6"/>
    </row>
    <row r="57" spans="1:15" x14ac:dyDescent="0.3">
      <c r="B57" s="4">
        <v>9.9</v>
      </c>
      <c r="C57" s="4">
        <v>12.9</v>
      </c>
      <c r="D57" s="4">
        <v>2.4</v>
      </c>
      <c r="E57" s="4">
        <v>20.9</v>
      </c>
      <c r="F57" s="4">
        <v>15.2</v>
      </c>
      <c r="J57" s="6"/>
      <c r="K57" s="6"/>
    </row>
    <row r="58" spans="1:15" ht="15" x14ac:dyDescent="0.3">
      <c r="A58" s="4" t="s">
        <v>84</v>
      </c>
      <c r="B58" s="5">
        <v>7.1</v>
      </c>
      <c r="C58" s="4">
        <v>3.3</v>
      </c>
      <c r="D58" s="5">
        <v>3.7</v>
      </c>
      <c r="E58" s="4">
        <v>5</v>
      </c>
      <c r="F58" s="4">
        <v>5.8</v>
      </c>
      <c r="G58" s="4">
        <v>4.9000000000000004</v>
      </c>
      <c r="I58" s="7">
        <f>AVERAGE(B58,B59,C59,D59,D58,E58,F58,G58)</f>
        <v>5.4374999999999991</v>
      </c>
      <c r="J58" s="7">
        <f>STDEV(B58,B59,C59,D59,D58,E58,F58,G58)</f>
        <v>1.0308630226313191</v>
      </c>
      <c r="K58" s="6"/>
    </row>
    <row r="59" spans="1:15" ht="15" x14ac:dyDescent="0.3">
      <c r="B59" s="5">
        <v>5.5</v>
      </c>
      <c r="C59" s="4">
        <v>6.4</v>
      </c>
      <c r="D59" s="5">
        <v>5.0999999999999996</v>
      </c>
    </row>
    <row r="60" spans="1:15" x14ac:dyDescent="0.3">
      <c r="A60" s="4" t="s">
        <v>104</v>
      </c>
    </row>
    <row r="61" spans="1:15" x14ac:dyDescent="0.3">
      <c r="A61" s="4" t="s">
        <v>103</v>
      </c>
    </row>
    <row r="62" spans="1:15" x14ac:dyDescent="0.3">
      <c r="A62" s="4" t="s">
        <v>84</v>
      </c>
      <c r="B62" s="4">
        <v>7.1</v>
      </c>
      <c r="C62" s="4">
        <v>3.3</v>
      </c>
      <c r="D62" s="4">
        <v>3.7</v>
      </c>
      <c r="E62" s="4">
        <v>5</v>
      </c>
      <c r="F62" s="4">
        <v>5.7</v>
      </c>
      <c r="G62" s="4">
        <v>4.9000000000000004</v>
      </c>
      <c r="H62" s="4">
        <v>6.3</v>
      </c>
      <c r="I62" s="4">
        <v>5.4</v>
      </c>
      <c r="J62" s="4">
        <v>5</v>
      </c>
      <c r="N62" s="13">
        <f>AVERAGE(B62,D62:J62)</f>
        <v>5.3874999999999993</v>
      </c>
      <c r="O62" s="13">
        <f>STDEV(B62,D62:J62)</f>
        <v>1.0176127526155156</v>
      </c>
    </row>
    <row r="63" spans="1:15" x14ac:dyDescent="0.3">
      <c r="A63" s="4" t="s">
        <v>85</v>
      </c>
      <c r="B63" s="4">
        <v>32</v>
      </c>
      <c r="C63" s="4">
        <v>24.3</v>
      </c>
      <c r="D63" s="4">
        <v>33.299999999999997</v>
      </c>
      <c r="E63" s="4">
        <v>25.2</v>
      </c>
      <c r="F63" s="4">
        <v>33.299999999999997</v>
      </c>
      <c r="G63" s="4">
        <v>28.3</v>
      </c>
      <c r="H63" s="4">
        <v>27.3</v>
      </c>
      <c r="I63" s="4">
        <v>28.9</v>
      </c>
      <c r="J63" s="4">
        <v>28.8</v>
      </c>
      <c r="K63" s="4">
        <v>29.1</v>
      </c>
      <c r="N63" s="13">
        <v>27.99</v>
      </c>
      <c r="O63" s="13">
        <v>2.37</v>
      </c>
    </row>
    <row r="64" spans="1:15" x14ac:dyDescent="0.3">
      <c r="A64" s="4" t="s">
        <v>86</v>
      </c>
      <c r="B64" s="4">
        <v>24.6</v>
      </c>
      <c r="C64" s="4">
        <v>33.299999999999997</v>
      </c>
      <c r="D64" s="4">
        <v>22.6</v>
      </c>
      <c r="E64" s="4">
        <v>19.2</v>
      </c>
      <c r="F64" s="4">
        <v>19.100000000000001</v>
      </c>
      <c r="G64" s="4">
        <v>26.3</v>
      </c>
      <c r="H64" s="4">
        <v>19.2</v>
      </c>
      <c r="I64" s="4">
        <v>19.7</v>
      </c>
      <c r="J64" s="4">
        <v>26.8</v>
      </c>
      <c r="K64" s="4">
        <v>25.8</v>
      </c>
      <c r="L64" s="4">
        <v>31.2</v>
      </c>
      <c r="N64" s="13">
        <f>AVERAGE(B64,D64,F64,G64,H64,I64,J64,K64)</f>
        <v>23.012500000000003</v>
      </c>
      <c r="O64" s="13">
        <f>STDEV(F64:K64,D64,B64)</f>
        <v>3.3042991476473285</v>
      </c>
    </row>
    <row r="65" spans="1:16" x14ac:dyDescent="0.3">
      <c r="A65" s="4" t="s">
        <v>100</v>
      </c>
      <c r="B65" s="4">
        <v>30.2</v>
      </c>
      <c r="C65" s="4">
        <v>20.6</v>
      </c>
      <c r="D65" s="4">
        <v>22.9</v>
      </c>
      <c r="E65" s="4">
        <v>21.6</v>
      </c>
      <c r="F65" s="4">
        <v>30.2</v>
      </c>
      <c r="G65" s="4">
        <v>22.3</v>
      </c>
      <c r="H65" s="4">
        <v>19.2</v>
      </c>
      <c r="I65" s="4">
        <v>18.3</v>
      </c>
      <c r="J65" s="4">
        <v>26.1</v>
      </c>
      <c r="K65" s="4">
        <v>26.9</v>
      </c>
      <c r="L65" s="4">
        <v>21.7</v>
      </c>
      <c r="N65" s="13">
        <f>AVERAGE(D65:E65,G65:L65)</f>
        <v>22.375</v>
      </c>
      <c r="O65" s="13">
        <f>STDEV(D65:E65,G65:L65)</f>
        <v>2.9850819562809696</v>
      </c>
    </row>
    <row r="66" spans="1:16" x14ac:dyDescent="0.3">
      <c r="A66" s="4" t="s">
        <v>101</v>
      </c>
      <c r="B66" s="4">
        <v>10.7</v>
      </c>
      <c r="C66" s="4">
        <v>15.2</v>
      </c>
      <c r="D66" s="4">
        <v>25.9</v>
      </c>
      <c r="E66" s="4">
        <v>16.2</v>
      </c>
      <c r="F66" s="4">
        <v>10.9</v>
      </c>
      <c r="G66" s="4">
        <v>12.9</v>
      </c>
      <c r="H66" s="4">
        <v>2.4</v>
      </c>
      <c r="I66" s="4">
        <v>20.9</v>
      </c>
      <c r="J66" s="4">
        <v>15.9</v>
      </c>
      <c r="K66" s="4">
        <v>13.1</v>
      </c>
      <c r="N66" s="13">
        <f>AVERAGE(B66:C66,E66:G66,I66:K66)</f>
        <v>14.474999999999998</v>
      </c>
      <c r="O66" s="13">
        <v>2.34</v>
      </c>
    </row>
    <row r="67" spans="1:16" x14ac:dyDescent="0.3">
      <c r="A67" s="4" t="s">
        <v>102</v>
      </c>
    </row>
    <row r="68" spans="1:16" x14ac:dyDescent="0.3">
      <c r="A68" s="4" t="s">
        <v>84</v>
      </c>
      <c r="B68" s="4">
        <v>13.6</v>
      </c>
      <c r="C68" s="4">
        <v>8.6</v>
      </c>
      <c r="D68" s="4">
        <v>9.1</v>
      </c>
      <c r="E68" s="4">
        <v>7.7</v>
      </c>
      <c r="F68" s="4">
        <v>13.2</v>
      </c>
      <c r="G68" s="4">
        <v>9.9</v>
      </c>
      <c r="H68" s="4">
        <v>11.45</v>
      </c>
      <c r="I68" s="4">
        <v>9.83</v>
      </c>
      <c r="N68" s="13">
        <f>AVERAGE(B68:I68)</f>
        <v>10.422499999999999</v>
      </c>
      <c r="O68" s="6">
        <f>STDEV(B68:I68)</f>
        <v>2.1371994358438902</v>
      </c>
    </row>
    <row r="69" spans="1:16" x14ac:dyDescent="0.3">
      <c r="A69" s="4" t="s">
        <v>85</v>
      </c>
      <c r="B69" s="4">
        <v>33.299999999999997</v>
      </c>
      <c r="C69" s="4">
        <v>33.299999999999997</v>
      </c>
      <c r="D69" s="4">
        <v>33.299999999999997</v>
      </c>
      <c r="E69" s="4">
        <v>32.700000000000003</v>
      </c>
      <c r="F69" s="4">
        <v>33.299999999999997</v>
      </c>
      <c r="G69" s="4">
        <v>33.299999999999997</v>
      </c>
      <c r="H69" s="4">
        <v>33.299999999999997</v>
      </c>
      <c r="I69" s="4">
        <v>30.9</v>
      </c>
      <c r="J69" s="4">
        <v>33.299999999999997</v>
      </c>
      <c r="K69" s="4">
        <v>33.299999999999997</v>
      </c>
      <c r="N69" s="13">
        <f>AVERAGE(B69:I69)</f>
        <v>32.924999999999997</v>
      </c>
      <c r="O69" s="6">
        <f>STDEV(B69:I69)</f>
        <v>0.8447315719040146</v>
      </c>
    </row>
    <row r="70" spans="1:16" x14ac:dyDescent="0.3">
      <c r="A70" s="4" t="s">
        <v>86</v>
      </c>
      <c r="B70" s="4">
        <v>31.9</v>
      </c>
      <c r="C70" s="4">
        <v>33.299999999999997</v>
      </c>
      <c r="D70" s="4">
        <v>33.299999999999997</v>
      </c>
      <c r="E70" s="4">
        <v>33</v>
      </c>
      <c r="F70" s="4">
        <v>31.9</v>
      </c>
      <c r="G70" s="4">
        <v>33.299999999999997</v>
      </c>
      <c r="H70" s="4">
        <v>33.299999999999997</v>
      </c>
      <c r="I70" s="4">
        <v>33.299999999999997</v>
      </c>
      <c r="J70" s="4">
        <v>33.299999999999997</v>
      </c>
      <c r="K70" s="4">
        <v>33.200000000000003</v>
      </c>
      <c r="L70" s="4">
        <v>30.9</v>
      </c>
      <c r="N70" s="13">
        <f>AVERAGE(B70,D70:G70,J70:L70)</f>
        <v>32.599999999999994</v>
      </c>
      <c r="O70" s="6">
        <f>STDEV(B70,D70:G70,J70,K70,L70)</f>
        <v>0.91495511209176661</v>
      </c>
    </row>
    <row r="71" spans="1:16" x14ac:dyDescent="0.3">
      <c r="A71" s="4" t="s">
        <v>100</v>
      </c>
      <c r="B71" s="4">
        <v>33.299999999999997</v>
      </c>
      <c r="C71" s="4">
        <v>33.299999999999997</v>
      </c>
      <c r="D71" s="4">
        <v>29.5</v>
      </c>
      <c r="E71" s="4">
        <v>31.7</v>
      </c>
      <c r="F71" s="4">
        <v>33.299999999999997</v>
      </c>
      <c r="G71" s="4">
        <v>33.299999999999997</v>
      </c>
      <c r="H71" s="4">
        <v>28.9</v>
      </c>
      <c r="I71" s="4">
        <v>33.299999999999997</v>
      </c>
      <c r="J71" s="4">
        <v>29.2</v>
      </c>
      <c r="K71" s="4">
        <v>33.299999999999997</v>
      </c>
      <c r="L71" s="4">
        <v>33.299999999999997</v>
      </c>
      <c r="N71" s="13">
        <f>AVERAGE(C71:J71)</f>
        <v>31.5625</v>
      </c>
      <c r="O71" s="6">
        <f>STDEV(C71:J71)</f>
        <v>2.0360588680796314</v>
      </c>
    </row>
    <row r="72" spans="1:16" x14ac:dyDescent="0.3">
      <c r="A72" s="4" t="s">
        <v>101</v>
      </c>
      <c r="B72" s="4">
        <v>33.299999999999997</v>
      </c>
      <c r="C72" s="4">
        <v>29.3</v>
      </c>
      <c r="D72" s="4">
        <v>29.9</v>
      </c>
      <c r="E72" s="4">
        <v>29.9</v>
      </c>
      <c r="F72" s="4">
        <v>20.9</v>
      </c>
      <c r="G72" s="4">
        <v>29.3</v>
      </c>
      <c r="H72" s="4">
        <v>23.6</v>
      </c>
      <c r="I72" s="4">
        <v>19.2</v>
      </c>
      <c r="N72" s="13">
        <f>AVERAGE(B72:I72)</f>
        <v>26.925000000000001</v>
      </c>
      <c r="O72" s="6">
        <f>STDEV(B72,C72,D72,E72,G72,H72)</f>
        <v>3.1358677693210626</v>
      </c>
    </row>
    <row r="73" spans="1:16" x14ac:dyDescent="0.3">
      <c r="A73" s="4" t="s">
        <v>58</v>
      </c>
    </row>
    <row r="74" spans="1:16" x14ac:dyDescent="0.3">
      <c r="A74" s="4" t="s">
        <v>84</v>
      </c>
      <c r="B74" s="4">
        <v>7.6</v>
      </c>
      <c r="C74" s="4">
        <v>8.8000000000000007</v>
      </c>
      <c r="D74" s="4">
        <v>7.9</v>
      </c>
      <c r="E74" s="4">
        <v>7.3</v>
      </c>
      <c r="F74" s="4">
        <v>6.6</v>
      </c>
      <c r="G74" s="4">
        <v>7.1</v>
      </c>
      <c r="H74" s="4">
        <v>8.3000000000000007</v>
      </c>
      <c r="I74" s="4">
        <v>6.7</v>
      </c>
      <c r="N74" s="6">
        <f>AVERAGE(B74:I74)</f>
        <v>7.5374999999999996</v>
      </c>
      <c r="O74" s="6">
        <f>STDEV(B74:I74)</f>
        <v>0.76892782496148526</v>
      </c>
      <c r="P74" s="6"/>
    </row>
    <row r="75" spans="1:16" x14ac:dyDescent="0.3">
      <c r="A75" s="4" t="s">
        <v>85</v>
      </c>
      <c r="B75" s="4">
        <v>31.4</v>
      </c>
      <c r="C75" s="4">
        <v>29.9</v>
      </c>
      <c r="D75" s="4">
        <v>31.1</v>
      </c>
      <c r="E75" s="4">
        <v>29.9</v>
      </c>
      <c r="F75" s="4">
        <v>27.9</v>
      </c>
      <c r="G75" s="4">
        <v>25.7</v>
      </c>
      <c r="H75" s="4">
        <v>33.299999999999997</v>
      </c>
      <c r="I75" s="4">
        <v>25.5</v>
      </c>
      <c r="J75" s="4">
        <v>33.299999999999997</v>
      </c>
      <c r="K75" s="4">
        <v>30.8</v>
      </c>
      <c r="N75" s="6">
        <f>AVERAGE(B75:G75,I75,K75)</f>
        <v>29.025000000000002</v>
      </c>
      <c r="O75" s="6">
        <f>STDEV(B75:G75,I75,K75)</f>
        <v>2.3717082451262845</v>
      </c>
    </row>
    <row r="76" spans="1:16" x14ac:dyDescent="0.3">
      <c r="A76" s="4" t="s">
        <v>86</v>
      </c>
      <c r="B76" s="4">
        <v>33.299999999999997</v>
      </c>
      <c r="C76" s="4">
        <v>26.7</v>
      </c>
      <c r="D76" s="4">
        <v>31.6</v>
      </c>
      <c r="E76" s="4">
        <v>26.8</v>
      </c>
      <c r="F76" s="4">
        <v>33.299999999999997</v>
      </c>
      <c r="G76" s="4">
        <v>31.6</v>
      </c>
      <c r="H76" s="4">
        <v>28.6</v>
      </c>
      <c r="I76" s="4">
        <v>28.3</v>
      </c>
      <c r="J76" s="4">
        <v>33.299999999999997</v>
      </c>
      <c r="K76" s="4">
        <v>28.7</v>
      </c>
      <c r="L76" s="4">
        <v>26.6</v>
      </c>
      <c r="N76" s="6">
        <f>AVERAGE(C76:E76,G76:I76,K76:L76)</f>
        <v>28.612499999999997</v>
      </c>
      <c r="O76" s="6">
        <f>STDEV(C76:E76,G76:I76,K76:L76)</f>
        <v>2.0336016606714589</v>
      </c>
    </row>
    <row r="77" spans="1:16" x14ac:dyDescent="0.3">
      <c r="A77" s="4" t="s">
        <v>100</v>
      </c>
      <c r="B77" s="4">
        <v>26.3</v>
      </c>
      <c r="C77" s="4">
        <v>27.3</v>
      </c>
      <c r="D77" s="4">
        <v>30.2</v>
      </c>
      <c r="E77" s="4">
        <v>33.299999999999997</v>
      </c>
      <c r="F77" s="4">
        <v>26.8</v>
      </c>
      <c r="G77" s="4">
        <v>28</v>
      </c>
      <c r="H77" s="4">
        <v>24.8</v>
      </c>
      <c r="I77" s="4">
        <v>27.1</v>
      </c>
      <c r="J77" s="4">
        <v>32.6</v>
      </c>
      <c r="K77" s="4">
        <v>33.299999999999997</v>
      </c>
      <c r="L77" s="4">
        <v>33.299999999999997</v>
      </c>
      <c r="N77" s="6">
        <f>AVERAGE(B77:D77,F77,G77,H77,I77,J77)</f>
        <v>27.887499999999999</v>
      </c>
      <c r="O77" s="6">
        <v>1.38</v>
      </c>
      <c r="P77" s="6"/>
    </row>
    <row r="78" spans="1:16" x14ac:dyDescent="0.3">
      <c r="A78" s="4" t="s">
        <v>101</v>
      </c>
      <c r="B78" s="4">
        <v>31.4</v>
      </c>
      <c r="C78" s="4">
        <v>19.5</v>
      </c>
      <c r="D78" s="4">
        <v>18.8</v>
      </c>
      <c r="E78" s="4">
        <v>22.3</v>
      </c>
      <c r="F78" s="4">
        <v>31.7</v>
      </c>
      <c r="G78" s="4">
        <v>23</v>
      </c>
      <c r="H78" s="4">
        <v>26.4</v>
      </c>
      <c r="I78" s="4">
        <v>23.3</v>
      </c>
      <c r="N78" s="6">
        <f>AVERAGE(B78,E78,C78,D78,F78,G78,H78,I78)</f>
        <v>24.55</v>
      </c>
      <c r="O78" s="6">
        <f>STDEV(B78,E78,F78,I78,H78)</f>
        <v>4.404202538485265</v>
      </c>
      <c r="P78" s="6"/>
    </row>
    <row r="79" spans="1:16" x14ac:dyDescent="0.3">
      <c r="A79" s="4" t="s">
        <v>59</v>
      </c>
      <c r="N79" s="6"/>
      <c r="O79" s="6"/>
      <c r="P79" s="6"/>
    </row>
    <row r="80" spans="1:16" x14ac:dyDescent="0.3">
      <c r="A80" s="4" t="s">
        <v>84</v>
      </c>
      <c r="B80" s="4">
        <v>5.9</v>
      </c>
      <c r="C80" s="4">
        <v>7.2</v>
      </c>
      <c r="D80" s="4">
        <v>7.6</v>
      </c>
      <c r="E80" s="4">
        <v>7.7</v>
      </c>
      <c r="F80" s="4">
        <v>2.6</v>
      </c>
      <c r="G80" s="4">
        <v>7.3</v>
      </c>
      <c r="H80" s="4">
        <v>7.3</v>
      </c>
      <c r="I80" s="4">
        <v>7.7</v>
      </c>
      <c r="J80" s="4">
        <v>6.9</v>
      </c>
      <c r="N80" s="6">
        <f>AVERAGE(B80:E80,G80:J80)</f>
        <v>7.2</v>
      </c>
      <c r="O80" s="6">
        <f>STDEV(B80:E80,G80:J80)</f>
        <v>0.59281411203561207</v>
      </c>
      <c r="P80" s="6"/>
    </row>
    <row r="81" spans="1:16" x14ac:dyDescent="0.3">
      <c r="A81" s="4" t="s">
        <v>85</v>
      </c>
      <c r="B81" s="4">
        <v>16.399999999999999</v>
      </c>
      <c r="C81" s="4">
        <v>26.5</v>
      </c>
      <c r="D81" s="4">
        <v>22.7</v>
      </c>
      <c r="E81" s="4">
        <v>21</v>
      </c>
      <c r="F81" s="4">
        <v>17.100000000000001</v>
      </c>
      <c r="G81" s="4">
        <v>26.1</v>
      </c>
      <c r="H81" s="4">
        <v>33.299999999999997</v>
      </c>
      <c r="I81" s="4">
        <v>30.4</v>
      </c>
      <c r="J81" s="4">
        <v>30.6</v>
      </c>
      <c r="K81" s="4">
        <v>27.2</v>
      </c>
      <c r="N81" s="6">
        <f>AVERAGE(B81:K81)</f>
        <v>25.129999999999995</v>
      </c>
      <c r="O81" s="6">
        <v>2.25</v>
      </c>
      <c r="P81" s="6"/>
    </row>
    <row r="82" spans="1:16" x14ac:dyDescent="0.3">
      <c r="A82" s="4" t="s">
        <v>86</v>
      </c>
      <c r="B82" s="4">
        <v>25.4</v>
      </c>
      <c r="C82" s="4">
        <v>30.2</v>
      </c>
      <c r="D82" s="4">
        <v>25.6</v>
      </c>
      <c r="E82" s="4">
        <v>22.9</v>
      </c>
      <c r="F82" s="4">
        <v>24.7</v>
      </c>
      <c r="G82" s="4">
        <v>20.3</v>
      </c>
      <c r="H82" s="4">
        <v>30.9</v>
      </c>
      <c r="I82" s="4">
        <v>24.3</v>
      </c>
      <c r="J82" s="4">
        <v>23.8</v>
      </c>
      <c r="K82" s="4">
        <v>25.3</v>
      </c>
      <c r="L82" s="4">
        <v>23.7</v>
      </c>
      <c r="N82" s="6">
        <f>AVERAGE(D82:G82,I82,J82,K82,L82)</f>
        <v>23.824999999999999</v>
      </c>
      <c r="O82" s="6">
        <v>1.57</v>
      </c>
    </row>
    <row r="83" spans="1:16" x14ac:dyDescent="0.3">
      <c r="A83" s="4" t="s">
        <v>100</v>
      </c>
      <c r="B83" s="4">
        <v>16.8</v>
      </c>
      <c r="C83" s="4">
        <v>30.3</v>
      </c>
      <c r="D83" s="4">
        <v>22.2</v>
      </c>
      <c r="E83" s="4">
        <v>24.8</v>
      </c>
      <c r="F83" s="4">
        <v>16.8</v>
      </c>
      <c r="G83" s="4">
        <v>19.899999999999999</v>
      </c>
      <c r="H83" s="4">
        <v>20.3</v>
      </c>
      <c r="I83" s="4">
        <v>26.5</v>
      </c>
      <c r="J83" s="4">
        <v>24.3</v>
      </c>
      <c r="K83" s="4">
        <v>24.3</v>
      </c>
      <c r="L83" s="4">
        <v>22.3</v>
      </c>
      <c r="N83" s="6">
        <f>AVERAGE(D83:I83,K83:L83)</f>
        <v>22.137500000000003</v>
      </c>
      <c r="O83" s="6">
        <f>STDEV(C83:D83,E83,F83,G83,J83,K83,L83)</f>
        <v>3.9458613037676868</v>
      </c>
    </row>
    <row r="84" spans="1:16" x14ac:dyDescent="0.3">
      <c r="A84" s="4" t="s">
        <v>101</v>
      </c>
      <c r="B84" s="4">
        <v>18.600000000000001</v>
      </c>
      <c r="C84" s="4">
        <v>20.399999999999999</v>
      </c>
      <c r="D84" s="4">
        <v>17.8</v>
      </c>
      <c r="E84" s="4">
        <v>20.2</v>
      </c>
      <c r="F84" s="4">
        <v>15.5</v>
      </c>
      <c r="G84" s="4">
        <v>14.6</v>
      </c>
      <c r="H84" s="4">
        <v>19.600000000000001</v>
      </c>
      <c r="I84" s="4">
        <v>16.7</v>
      </c>
      <c r="N84" s="6">
        <f>AVERAGE(B84:I84)</f>
        <v>17.924999999999997</v>
      </c>
      <c r="O84" s="6">
        <v>1.56</v>
      </c>
      <c r="P84" s="6"/>
    </row>
    <row r="85" spans="1:16" x14ac:dyDescent="0.3">
      <c r="A85" s="4" t="s">
        <v>60</v>
      </c>
      <c r="N85" s="6"/>
      <c r="O85" s="6"/>
      <c r="P85" s="6"/>
    </row>
    <row r="86" spans="1:16" x14ac:dyDescent="0.3">
      <c r="A86" s="4" t="s">
        <v>84</v>
      </c>
      <c r="B86" s="4">
        <v>6.7</v>
      </c>
      <c r="C86" s="4">
        <v>7</v>
      </c>
      <c r="D86" s="4">
        <v>4.3</v>
      </c>
      <c r="E86" s="4">
        <v>5.4</v>
      </c>
      <c r="F86" s="4">
        <v>5.7</v>
      </c>
      <c r="G86" s="4">
        <v>7</v>
      </c>
      <c r="H86" s="4">
        <v>5.9</v>
      </c>
      <c r="I86" s="4">
        <v>6.1</v>
      </c>
      <c r="N86" s="6">
        <f>AVERAGE(B86:I86)</f>
        <v>6.0124999999999993</v>
      </c>
      <c r="O86" s="6">
        <f>STDEV(B86:I86)</f>
        <v>0.91407642693908353</v>
      </c>
      <c r="P86" s="6"/>
    </row>
    <row r="87" spans="1:16" x14ac:dyDescent="0.3">
      <c r="A87" s="4" t="s">
        <v>85</v>
      </c>
      <c r="B87" s="4">
        <v>27.7</v>
      </c>
      <c r="C87" s="4">
        <v>32.799999999999997</v>
      </c>
      <c r="D87" s="4">
        <v>21.5</v>
      </c>
      <c r="E87" s="4">
        <v>27.4</v>
      </c>
      <c r="F87" s="4">
        <v>21</v>
      </c>
      <c r="G87" s="4">
        <v>24.6</v>
      </c>
      <c r="H87" s="4">
        <v>16.7</v>
      </c>
      <c r="I87" s="4">
        <v>9.1999999999999993</v>
      </c>
      <c r="J87" s="4">
        <v>20.7</v>
      </c>
      <c r="K87" s="4">
        <v>13.9</v>
      </c>
      <c r="N87" s="6">
        <f>AVERAGE(B87,D87,E87,F87,G87,H87,J87,K87)</f>
        <v>21.687499999999996</v>
      </c>
      <c r="O87" s="6">
        <f>STDEV(B87,E87,G87,D87)</f>
        <v>2.8925190866555508</v>
      </c>
    </row>
    <row r="88" spans="1:16" x14ac:dyDescent="0.3">
      <c r="A88" s="4" t="s">
        <v>86</v>
      </c>
      <c r="B88" s="4">
        <v>32.299999999999997</v>
      </c>
      <c r="C88" s="4">
        <v>26.2</v>
      </c>
      <c r="D88" s="4">
        <v>28.8</v>
      </c>
      <c r="E88" s="4">
        <v>17.600000000000001</v>
      </c>
      <c r="F88" s="4">
        <v>15.9</v>
      </c>
      <c r="G88" s="4">
        <v>18.600000000000001</v>
      </c>
      <c r="H88" s="4">
        <v>12.9</v>
      </c>
      <c r="I88" s="4">
        <v>24.7</v>
      </c>
      <c r="J88" s="4">
        <v>16.8</v>
      </c>
      <c r="K88" s="4">
        <v>17.100000000000001</v>
      </c>
      <c r="L88" s="4">
        <v>22.8</v>
      </c>
      <c r="N88" s="6">
        <f>AVERAGE(C88,E88,F88,G88,I88,J88,K88,L88)</f>
        <v>19.962500000000002</v>
      </c>
      <c r="O88" s="6">
        <f>STDEV(C88:D88,E88,F88,G88,I88,K88,L88)</f>
        <v>4.8053355762111014</v>
      </c>
      <c r="P88" s="6"/>
    </row>
    <row r="89" spans="1:16" x14ac:dyDescent="0.3">
      <c r="A89" s="4" t="s">
        <v>100</v>
      </c>
      <c r="B89" s="4">
        <v>19.8</v>
      </c>
      <c r="C89" s="4">
        <v>16.100000000000001</v>
      </c>
      <c r="D89" s="4">
        <v>14.9</v>
      </c>
      <c r="E89" s="4">
        <v>14.7</v>
      </c>
      <c r="F89" s="4">
        <v>27.8</v>
      </c>
      <c r="G89" s="4">
        <v>18.2</v>
      </c>
      <c r="H89" s="4">
        <v>15.3</v>
      </c>
      <c r="I89" s="4">
        <v>11.8</v>
      </c>
      <c r="J89" s="4">
        <v>30.3</v>
      </c>
      <c r="K89" s="4">
        <v>19.8</v>
      </c>
      <c r="L89" s="4">
        <v>21</v>
      </c>
      <c r="N89" s="6">
        <f>AVERAGE(B89:E89,G89,H89,K89,L89)</f>
        <v>17.475000000000001</v>
      </c>
      <c r="O89" s="6">
        <v>1.19</v>
      </c>
    </row>
    <row r="90" spans="1:16" x14ac:dyDescent="0.3">
      <c r="A90" s="4" t="s">
        <v>101</v>
      </c>
      <c r="B90" s="4">
        <v>11.5</v>
      </c>
      <c r="C90" s="4">
        <v>19.7</v>
      </c>
      <c r="D90" s="4">
        <v>14.6</v>
      </c>
      <c r="E90" s="4">
        <v>16.5</v>
      </c>
      <c r="F90" s="4">
        <v>15.7</v>
      </c>
      <c r="G90" s="4">
        <v>15.1</v>
      </c>
      <c r="H90" s="4">
        <v>16.399999999999999</v>
      </c>
      <c r="I90" s="4">
        <v>16.25</v>
      </c>
      <c r="N90" s="6">
        <f>AVERAGE(B90:I90)</f>
        <v>15.71875</v>
      </c>
      <c r="O90" s="6">
        <f>STDEV(B90:I90)</f>
        <v>2.2878463828300499</v>
      </c>
      <c r="P90" s="6"/>
    </row>
    <row r="91" spans="1:16" x14ac:dyDescent="0.3">
      <c r="N91" s="6"/>
      <c r="O91" s="6"/>
      <c r="P91" s="6"/>
    </row>
    <row r="92" spans="1:16" x14ac:dyDescent="0.3">
      <c r="N92" s="6"/>
      <c r="O92" s="6"/>
      <c r="P92" s="6"/>
    </row>
    <row r="94" spans="1:16" x14ac:dyDescent="0.3">
      <c r="D94" s="4" t="s">
        <v>99</v>
      </c>
      <c r="F94" s="4">
        <v>0</v>
      </c>
      <c r="G94" s="4">
        <v>30</v>
      </c>
      <c r="H94" s="4">
        <v>60</v>
      </c>
      <c r="I94" s="4">
        <v>120</v>
      </c>
      <c r="J94" s="4">
        <v>180</v>
      </c>
      <c r="L94" s="13">
        <v>1.0176127526155156</v>
      </c>
      <c r="M94" s="13">
        <v>2.1371994358438902</v>
      </c>
      <c r="N94" s="13">
        <v>0.76892782496148637</v>
      </c>
      <c r="O94" s="13">
        <v>0.59281411203561662</v>
      </c>
      <c r="P94" s="13">
        <v>0.91407642693908353</v>
      </c>
    </row>
    <row r="95" spans="1:16" x14ac:dyDescent="0.3">
      <c r="C95" s="6"/>
      <c r="E95" s="4" t="s">
        <v>84</v>
      </c>
      <c r="F95" s="13">
        <v>5.3875000000000002</v>
      </c>
      <c r="G95" s="6">
        <v>10.422499999999999</v>
      </c>
      <c r="H95" s="13">
        <v>7.5374999999999996</v>
      </c>
      <c r="I95" s="13">
        <v>7.2</v>
      </c>
      <c r="J95" s="13">
        <v>6.0125000000000002</v>
      </c>
      <c r="L95" s="13">
        <v>2.37</v>
      </c>
      <c r="M95" s="13">
        <v>0.84473157190408299</v>
      </c>
      <c r="N95" s="13">
        <v>2.3717082451262295</v>
      </c>
      <c r="O95" s="13">
        <v>2.25</v>
      </c>
      <c r="P95" s="13">
        <v>2.8925190866555988</v>
      </c>
    </row>
    <row r="96" spans="1:16" x14ac:dyDescent="0.3">
      <c r="C96" s="6"/>
      <c r="E96" s="4" t="s">
        <v>85</v>
      </c>
      <c r="F96" s="13">
        <v>27.99</v>
      </c>
      <c r="G96" s="6">
        <v>32.924999999999997</v>
      </c>
      <c r="H96" s="13">
        <v>29.024999999999999</v>
      </c>
      <c r="I96" s="13">
        <v>25.13</v>
      </c>
      <c r="J96" s="13">
        <v>21.6875</v>
      </c>
      <c r="L96" s="13">
        <v>2.9413007326691183</v>
      </c>
      <c r="M96" s="13">
        <v>2.7022477416297264</v>
      </c>
      <c r="N96" s="13">
        <v>1.67</v>
      </c>
      <c r="O96" s="13">
        <v>2.5383065220733481</v>
      </c>
      <c r="P96" s="13">
        <v>1.44</v>
      </c>
    </row>
    <row r="97" spans="3:16" x14ac:dyDescent="0.3">
      <c r="C97" s="6"/>
      <c r="E97" s="4" t="s">
        <v>86</v>
      </c>
      <c r="F97" s="13">
        <v>23.012499999999999</v>
      </c>
      <c r="G97" s="6">
        <v>32.6</v>
      </c>
      <c r="H97" s="13">
        <v>28.612500000000001</v>
      </c>
      <c r="I97" s="13">
        <v>23.824999999999999</v>
      </c>
      <c r="J97" s="13">
        <v>19.962499999999999</v>
      </c>
      <c r="L97" s="13">
        <v>2.9850819562809696</v>
      </c>
      <c r="M97" s="13">
        <v>2.036058868079639</v>
      </c>
      <c r="N97" s="13">
        <v>1.38</v>
      </c>
      <c r="O97" s="13">
        <v>3.9458613037676868</v>
      </c>
      <c r="P97" s="13">
        <v>1.19</v>
      </c>
    </row>
    <row r="98" spans="3:16" x14ac:dyDescent="0.3">
      <c r="C98" s="6"/>
      <c r="E98" s="4" t="s">
        <v>100</v>
      </c>
      <c r="F98" s="13">
        <v>22.375</v>
      </c>
      <c r="G98" s="6">
        <v>31.5625</v>
      </c>
      <c r="H98" s="13">
        <v>27.887499999999999</v>
      </c>
      <c r="I98" s="13">
        <v>22.137499999999999</v>
      </c>
      <c r="J98" s="13">
        <v>17.475000000000001</v>
      </c>
      <c r="L98" s="13">
        <v>2.34</v>
      </c>
      <c r="M98" s="13">
        <v>3.1358677693210266</v>
      </c>
      <c r="N98" s="13">
        <v>4.404202538485265</v>
      </c>
      <c r="O98" s="13">
        <v>1.56</v>
      </c>
      <c r="P98" s="13">
        <v>2.2878463828300499</v>
      </c>
    </row>
    <row r="99" spans="3:16" x14ac:dyDescent="0.3">
      <c r="C99" s="6"/>
      <c r="E99" s="4" t="s">
        <v>101</v>
      </c>
      <c r="F99" s="13">
        <v>14.475</v>
      </c>
      <c r="G99" s="6">
        <v>26.925000000000001</v>
      </c>
      <c r="H99" s="13">
        <v>24.55</v>
      </c>
      <c r="I99" s="13">
        <v>17.925000000000001</v>
      </c>
      <c r="J99" s="13">
        <v>15.71875</v>
      </c>
    </row>
    <row r="100" spans="3:16" x14ac:dyDescent="0.3">
      <c r="F100" s="6"/>
    </row>
    <row r="102" spans="3:16" x14ac:dyDescent="0.3">
      <c r="E102" s="4" t="s">
        <v>84</v>
      </c>
      <c r="F102" s="4" t="s">
        <v>85</v>
      </c>
      <c r="G102" s="4" t="s">
        <v>100</v>
      </c>
      <c r="H102" s="4" t="s">
        <v>86</v>
      </c>
      <c r="I102" s="4" t="s">
        <v>101</v>
      </c>
    </row>
    <row r="103" spans="3:16" x14ac:dyDescent="0.3">
      <c r="E103" s="6">
        <v>1.02</v>
      </c>
      <c r="F103" s="4">
        <v>2.37</v>
      </c>
      <c r="G103" s="4">
        <v>2.99</v>
      </c>
      <c r="H103" s="4">
        <v>1.98</v>
      </c>
      <c r="I103" s="4">
        <v>2.34</v>
      </c>
    </row>
    <row r="104" spans="3:16" x14ac:dyDescent="0.3">
      <c r="E104" s="6">
        <v>2.14</v>
      </c>
      <c r="F104" s="6">
        <v>0.84</v>
      </c>
      <c r="G104" s="6">
        <v>2.04</v>
      </c>
      <c r="H104" s="6">
        <v>0.91</v>
      </c>
      <c r="I104" s="6">
        <v>3.14</v>
      </c>
    </row>
    <row r="105" spans="3:16" x14ac:dyDescent="0.3">
      <c r="E105" s="6">
        <v>0.77</v>
      </c>
      <c r="F105" s="6">
        <v>2.37</v>
      </c>
      <c r="G105" s="6">
        <v>1.38</v>
      </c>
      <c r="H105" s="6">
        <v>2.0299999999999998</v>
      </c>
      <c r="I105" s="6">
        <v>2.6827224977622803</v>
      </c>
    </row>
    <row r="106" spans="3:16" x14ac:dyDescent="0.3">
      <c r="E106" s="6">
        <v>0.59</v>
      </c>
      <c r="F106" s="6">
        <v>2.25</v>
      </c>
      <c r="G106" s="6">
        <v>2.4798833497911326</v>
      </c>
      <c r="H106" s="6">
        <v>1.57</v>
      </c>
      <c r="I106" s="6">
        <v>1.56</v>
      </c>
    </row>
    <row r="107" spans="3:16" x14ac:dyDescent="0.3">
      <c r="E107" s="6">
        <v>0.91</v>
      </c>
      <c r="F107" s="6">
        <v>2.89</v>
      </c>
      <c r="G107" s="6">
        <v>1.19</v>
      </c>
      <c r="H107" s="6">
        <v>2.3157457916249484</v>
      </c>
      <c r="I107" s="6">
        <v>2.12</v>
      </c>
    </row>
    <row r="108" spans="3:16" x14ac:dyDescent="0.3">
      <c r="G108" s="6"/>
    </row>
    <row r="110" spans="3:16" x14ac:dyDescent="0.3">
      <c r="G110" s="6"/>
    </row>
    <row r="111" spans="3:16" x14ac:dyDescent="0.3">
      <c r="G111" s="6"/>
    </row>
    <row r="112" spans="3:16" x14ac:dyDescent="0.3">
      <c r="G112" s="6"/>
    </row>
    <row r="113" spans="7:15" x14ac:dyDescent="0.3">
      <c r="G113" s="6"/>
    </row>
    <row r="123" spans="7:15" x14ac:dyDescent="0.3">
      <c r="O123" s="6"/>
    </row>
    <row r="124" spans="7:15" x14ac:dyDescent="0.3">
      <c r="O124" s="6"/>
    </row>
    <row r="125" spans="7:15" x14ac:dyDescent="0.3">
      <c r="O125" s="6"/>
    </row>
    <row r="126" spans="7:15" x14ac:dyDescent="0.3">
      <c r="O126" s="6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kidney index</vt:lpstr>
      <vt:lpstr> spleen index</vt:lpstr>
      <vt:lpstr>liver index</vt:lpstr>
      <vt:lpstr>TC</vt:lpstr>
      <vt:lpstr>TG</vt:lpstr>
      <vt:lpstr>HDL</vt:lpstr>
      <vt:lpstr>LDL</vt:lpstr>
      <vt:lpstr>Body weight</vt:lpstr>
      <vt:lpstr>FBG</vt:lpstr>
      <vt:lpstr>SOD</vt:lpstr>
      <vt:lpstr>CRP</vt:lpstr>
      <vt:lpstr>HOMA</vt:lpstr>
      <vt:lpstr>inflammatory cytokines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guochen</dc:creator>
  <cp:lastModifiedBy>guochen</cp:lastModifiedBy>
  <dcterms:created xsi:type="dcterms:W3CDTF">2018-07-30T10:07:18Z</dcterms:created>
  <dcterms:modified xsi:type="dcterms:W3CDTF">2018-08-22T02:46:53Z</dcterms:modified>
</cp:coreProperties>
</file>