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vinparker/Documents/Z:Yen General/Burn Carbon/"/>
    </mc:Choice>
  </mc:AlternateContent>
  <xr:revisionPtr revIDLastSave="0" documentId="13_ncr:1_{3C57707E-7E14-5E4E-8FF9-5EBE8D090C16}" xr6:coauthVersionLast="47" xr6:coauthVersionMax="47" xr10:uidLastSave="{00000000-0000-0000-0000-000000000000}"/>
  <bookViews>
    <workbookView xWindow="12520" yWindow="500" windowWidth="43360" windowHeight="21720" xr2:uid="{00000000-000D-0000-FFFF-FFFF00000000}"/>
  </bookViews>
  <sheets>
    <sheet name="Calc" sheetId="2" r:id="rId1"/>
    <sheet name="Chart Tables" sheetId="9" r:id="rId2"/>
    <sheet name="Forties Field" sheetId="8" r:id="rId3"/>
    <sheet name="2005 2022Compare" sheetId="5" r:id="rId4"/>
    <sheet name="2005" sheetId="4" r:id="rId5"/>
    <sheet name="Carbon Sinks" sheetId="3" r:id="rId6"/>
    <sheet name="Sinks&amp;CarbonEmissions" sheetId="6" r:id="rId7"/>
    <sheet name="Carbon Budgets" sheetId="7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6" l="1"/>
  <c r="U10" i="6"/>
  <c r="U9" i="6"/>
  <c r="U8" i="6"/>
  <c r="Q16" i="6" l="1"/>
  <c r="S24" i="6"/>
  <c r="Q26" i="6"/>
  <c r="Q23" i="6"/>
  <c r="Q24" i="6" s="1"/>
  <c r="Q28" i="6" s="1"/>
  <c r="Q29" i="6" s="1"/>
  <c r="Q19" i="6"/>
  <c r="Q10" i="6"/>
  <c r="M6" i="2"/>
  <c r="M4" i="2"/>
  <c r="M24" i="6"/>
  <c r="M28" i="6" s="1"/>
  <c r="M29" i="6" s="1"/>
  <c r="M19" i="6"/>
  <c r="M16" i="6"/>
  <c r="M14" i="6"/>
  <c r="M9" i="6"/>
  <c r="M6" i="6"/>
  <c r="M4" i="6"/>
  <c r="J11" i="2"/>
  <c r="N5" i="5"/>
  <c r="N6" i="5"/>
  <c r="N7" i="5"/>
  <c r="N8" i="5"/>
  <c r="N9" i="5"/>
  <c r="L7" i="5"/>
  <c r="L8" i="5"/>
  <c r="L9" i="5"/>
  <c r="R7" i="5"/>
  <c r="R5" i="5"/>
  <c r="R8" i="5"/>
  <c r="R6" i="5"/>
  <c r="V22" i="5"/>
  <c r="D35" i="2"/>
  <c r="D30" i="2"/>
  <c r="D22" i="2"/>
  <c r="D12" i="2"/>
  <c r="G30" i="2"/>
  <c r="S15" i="2"/>
  <c r="M13" i="2"/>
  <c r="M11" i="2"/>
  <c r="P11" i="2"/>
  <c r="D17" i="2"/>
  <c r="D9" i="2"/>
  <c r="R22" i="5"/>
  <c r="R20" i="5"/>
  <c r="R19" i="5"/>
  <c r="R18" i="5"/>
  <c r="E4" i="5"/>
  <c r="E5" i="5" s="1"/>
  <c r="P18" i="5"/>
  <c r="Q18" i="5" s="1"/>
  <c r="P19" i="5"/>
  <c r="Q19" i="5" s="1"/>
  <c r="P20" i="5"/>
  <c r="P21" i="5"/>
  <c r="P22" i="5"/>
  <c r="G28" i="2"/>
  <c r="G29" i="2"/>
  <c r="G21" i="2"/>
  <c r="E12" i="5"/>
  <c r="E13" i="5" s="1"/>
  <c r="E14" i="5" s="1"/>
  <c r="L22" i="5"/>
  <c r="L21" i="5"/>
  <c r="Q22" i="5"/>
  <c r="O18" i="5"/>
  <c r="O19" i="5"/>
  <c r="O20" i="5"/>
  <c r="O21" i="5"/>
  <c r="O22" i="5"/>
  <c r="Q21" i="5"/>
  <c r="K20" i="5"/>
  <c r="K21" i="5"/>
  <c r="K22" i="5"/>
  <c r="J20" i="5"/>
  <c r="J21" i="5"/>
  <c r="J22" i="5"/>
  <c r="I20" i="5"/>
  <c r="I21" i="5"/>
  <c r="I22" i="5"/>
  <c r="F37" i="9"/>
  <c r="D12" i="5"/>
  <c r="D11" i="5"/>
  <c r="D11" i="2"/>
  <c r="A44" i="2"/>
  <c r="H56" i="5"/>
  <c r="J29" i="2"/>
  <c r="J30" i="2" s="1"/>
  <c r="J28" i="2"/>
  <c r="I27" i="2"/>
  <c r="A40" i="2"/>
  <c r="J3" i="2"/>
  <c r="J4" i="2" s="1"/>
  <c r="Q20" i="5" l="1"/>
  <c r="E46" i="9"/>
  <c r="F46" i="9"/>
  <c r="D46" i="9"/>
  <c r="K32" i="9"/>
  <c r="K33" i="9"/>
  <c r="K34" i="9"/>
  <c r="K35" i="9"/>
  <c r="K36" i="9"/>
  <c r="K31" i="9"/>
  <c r="J32" i="9"/>
  <c r="J33" i="9"/>
  <c r="J34" i="9"/>
  <c r="J35" i="9"/>
  <c r="J36" i="9"/>
  <c r="J31" i="9"/>
  <c r="E31" i="9"/>
  <c r="F32" i="9"/>
  <c r="F33" i="9"/>
  <c r="F34" i="9"/>
  <c r="F35" i="9"/>
  <c r="F36" i="9"/>
  <c r="F31" i="9"/>
  <c r="E32" i="9"/>
  <c r="E33" i="9"/>
  <c r="E34" i="9"/>
  <c r="E35" i="9"/>
  <c r="E36" i="9"/>
  <c r="J6" i="5"/>
  <c r="J5" i="5"/>
  <c r="C47" i="7"/>
  <c r="D47" i="7" s="1"/>
  <c r="K5" i="3"/>
  <c r="E70" i="5"/>
  <c r="E71" i="5"/>
  <c r="E72" i="5"/>
  <c r="E64" i="5"/>
  <c r="E65" i="5"/>
  <c r="E66" i="5"/>
  <c r="E67" i="5"/>
  <c r="E68" i="5"/>
  <c r="E69" i="5"/>
  <c r="J9" i="5" s="1"/>
  <c r="E63" i="5"/>
  <c r="D69" i="5"/>
  <c r="H9" i="5" s="1"/>
  <c r="D55" i="5"/>
  <c r="H8" i="5" s="1"/>
  <c r="D44" i="5"/>
  <c r="D45" i="5" s="1"/>
  <c r="H7" i="5" s="1"/>
  <c r="E42" i="5"/>
  <c r="E44" i="5" s="1"/>
  <c r="E45" i="5" s="1"/>
  <c r="J7" i="5" s="1"/>
  <c r="E30" i="6"/>
  <c r="E21" i="6"/>
  <c r="F21" i="6" s="1"/>
  <c r="D30" i="5"/>
  <c r="D29" i="5"/>
  <c r="H54" i="5" s="1"/>
  <c r="H55" i="5" s="1"/>
  <c r="G3" i="2"/>
  <c r="D3" i="5"/>
  <c r="I17" i="3"/>
  <c r="I21" i="3" s="1"/>
  <c r="I15" i="3"/>
  <c r="I13" i="3"/>
  <c r="I11" i="3"/>
  <c r="I7" i="3"/>
  <c r="D39" i="4"/>
  <c r="D41" i="4" s="1"/>
  <c r="D42" i="4" s="1"/>
  <c r="D43" i="4" s="1"/>
  <c r="D46" i="4" s="1"/>
  <c r="D47" i="4" s="1"/>
  <c r="D48" i="4" s="1"/>
  <c r="D29" i="4"/>
  <c r="D31" i="4" s="1"/>
  <c r="D32" i="4" s="1"/>
  <c r="D35" i="4" s="1"/>
  <c r="D36" i="4" s="1"/>
  <c r="D37" i="4" s="1"/>
  <c r="D19" i="4"/>
  <c r="D21" i="4" s="1"/>
  <c r="D22" i="4" s="1"/>
  <c r="D25" i="4" s="1"/>
  <c r="D26" i="4" s="1"/>
  <c r="D27" i="4" s="1"/>
  <c r="D14" i="4"/>
  <c r="D3" i="4"/>
  <c r="D8" i="4" s="1"/>
  <c r="D9" i="4" s="1"/>
  <c r="A35" i="2"/>
  <c r="M17" i="2"/>
  <c r="M18" i="2" s="1"/>
  <c r="M19" i="2" s="1"/>
  <c r="A15" i="2"/>
  <c r="D4" i="2"/>
  <c r="D5" i="2" s="1"/>
  <c r="J5" i="2"/>
  <c r="P3" i="2"/>
  <c r="P4" i="2"/>
  <c r="P5" i="2"/>
  <c r="P6" i="2" s="1"/>
  <c r="P7" i="2" s="1"/>
  <c r="P8" i="2" s="1"/>
  <c r="S3" i="2"/>
  <c r="S4" i="2"/>
  <c r="S5" i="2" s="1"/>
  <c r="S6" i="2" s="1"/>
  <c r="S7" i="2" s="1"/>
  <c r="S8" i="2" s="1"/>
  <c r="S9" i="2" s="1"/>
  <c r="G31" i="2" l="1"/>
  <c r="G32" i="2" s="1"/>
  <c r="J4" i="5"/>
  <c r="D20" i="5"/>
  <c r="G11" i="2"/>
  <c r="G4" i="2"/>
  <c r="G5" i="2" s="1"/>
  <c r="G22" i="2"/>
  <c r="S10" i="2"/>
  <c r="S11" i="2" s="1"/>
  <c r="S12" i="2" s="1"/>
  <c r="S13" i="2" s="1"/>
  <c r="D27" i="2" s="1"/>
  <c r="J6" i="2"/>
  <c r="J7" i="2" s="1"/>
  <c r="D13" i="2"/>
  <c r="D14" i="2"/>
  <c r="D13" i="5"/>
  <c r="H4" i="5" s="1"/>
  <c r="K11" i="5"/>
  <c r="D46" i="5"/>
  <c r="E46" i="5" s="1"/>
  <c r="E47" i="5" s="1"/>
  <c r="J8" i="2"/>
  <c r="D47" i="5" s="1"/>
  <c r="K17" i="3"/>
  <c r="E25" i="6"/>
  <c r="E26" i="6" s="1"/>
  <c r="E27" i="6" s="1"/>
  <c r="D19" i="5"/>
  <c r="M5" i="2"/>
  <c r="D31" i="5"/>
  <c r="G6" i="2"/>
  <c r="G7" i="2" s="1"/>
  <c r="D6" i="2"/>
  <c r="D5" i="5"/>
  <c r="D4" i="5"/>
  <c r="F22" i="4"/>
  <c r="H11" i="4"/>
  <c r="D12" i="4"/>
  <c r="D13" i="4" s="1"/>
  <c r="D15" i="4" s="1"/>
  <c r="D52" i="4" s="1"/>
  <c r="D53" i="4" s="1"/>
  <c r="D54" i="4" s="1"/>
  <c r="D55" i="4" s="1"/>
  <c r="P9" i="2"/>
  <c r="D26" i="2" s="1"/>
  <c r="M20" i="2"/>
  <c r="I17" i="5" l="1"/>
  <c r="J17" i="5" s="1"/>
  <c r="K17" i="5" s="1"/>
  <c r="L4" i="5"/>
  <c r="O17" i="5"/>
  <c r="P17" i="5" s="1"/>
  <c r="Q17" i="5" s="1"/>
  <c r="N4" i="5"/>
  <c r="G23" i="2"/>
  <c r="J3" i="5"/>
  <c r="D32" i="5"/>
  <c r="G33" i="2"/>
  <c r="E15" i="5"/>
  <c r="E16" i="5" s="1"/>
  <c r="D15" i="2"/>
  <c r="D14" i="5"/>
  <c r="J9" i="2"/>
  <c r="D24" i="2" s="1"/>
  <c r="H3" i="5"/>
  <c r="D21" i="5"/>
  <c r="D22" i="5"/>
  <c r="H5" i="5" s="1"/>
  <c r="D23" i="5"/>
  <c r="G8" i="2"/>
  <c r="G9" i="2" s="1"/>
  <c r="D6" i="5"/>
  <c r="D7" i="2"/>
  <c r="I18" i="5" l="1"/>
  <c r="J18" i="5" s="1"/>
  <c r="K18" i="5" s="1"/>
  <c r="L5" i="5"/>
  <c r="Q5" i="5"/>
  <c r="Q6" i="5" s="1"/>
  <c r="R3" i="5"/>
  <c r="R4" i="5" s="1"/>
  <c r="N3" i="5"/>
  <c r="I16" i="5"/>
  <c r="J16" i="5" s="1"/>
  <c r="K16" i="5" s="1"/>
  <c r="L3" i="5"/>
  <c r="Q3" i="5"/>
  <c r="Q4" i="5" s="1"/>
  <c r="R17" i="5"/>
  <c r="E75" i="5"/>
  <c r="M7" i="2"/>
  <c r="O16" i="5"/>
  <c r="J11" i="5"/>
  <c r="K10" i="5" s="1"/>
  <c r="G24" i="2"/>
  <c r="G25" i="2" s="1"/>
  <c r="E6" i="5"/>
  <c r="E7" i="5" s="1"/>
  <c r="E8" i="5" s="1"/>
  <c r="D16" i="2"/>
  <c r="D16" i="5" s="1"/>
  <c r="D15" i="5"/>
  <c r="D48" i="5"/>
  <c r="L20" i="5" s="1"/>
  <c r="D24" i="5"/>
  <c r="D7" i="5"/>
  <c r="D8" i="2"/>
  <c r="R16" i="5" l="1"/>
  <c r="R23" i="5" s="1"/>
  <c r="E77" i="5"/>
  <c r="L17" i="5"/>
  <c r="P16" i="5"/>
  <c r="Q16" i="5" s="1"/>
  <c r="Q23" i="5" s="1"/>
  <c r="D33" i="5"/>
  <c r="M8" i="2"/>
  <c r="D23" i="2"/>
  <c r="D25" i="5"/>
  <c r="L18" i="5" s="1"/>
  <c r="D21" i="2"/>
  <c r="D8" i="5"/>
  <c r="L16" i="5" l="1"/>
  <c r="D34" i="5"/>
  <c r="D75" i="5" s="1"/>
  <c r="M9" i="2"/>
  <c r="D35" i="5" l="1"/>
  <c r="M10" i="2"/>
  <c r="H6" i="5"/>
  <c r="L6" i="5" l="1"/>
  <c r="Q7" i="5"/>
  <c r="Q8" i="5" s="1"/>
  <c r="I19" i="5"/>
  <c r="J19" i="5" s="1"/>
  <c r="K19" i="5" s="1"/>
  <c r="K23" i="5" s="1"/>
  <c r="I11" i="5"/>
  <c r="H11" i="5"/>
  <c r="I10" i="5" s="1"/>
  <c r="D36" i="5"/>
  <c r="D37" i="5" l="1"/>
  <c r="D25" i="2"/>
  <c r="L19" i="5" l="1"/>
  <c r="L23" i="5" s="1"/>
  <c r="D77" i="5"/>
  <c r="D34" i="2"/>
  <c r="D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 Parker</author>
  </authors>
  <commentList>
    <comment ref="E11" authorId="0" shapeId="0" xr:uid="{AB503F8A-FBBE-9D47-B866-538BF08A1526}">
      <text>
        <r>
          <rPr>
            <sz val="9"/>
            <color rgb="FF000000"/>
            <rFont val="Verdana"/>
            <family val="2"/>
          </rPr>
          <t>value from reference adjusted to metric tonnes</t>
        </r>
      </text>
    </comment>
  </commentList>
</comments>
</file>

<file path=xl/sharedStrings.xml><?xml version="1.0" encoding="utf-8"?>
<sst xmlns="http://schemas.openxmlformats.org/spreadsheetml/2006/main" count="544" uniqueCount="296">
  <si>
    <t>Coal</t>
  </si>
  <si>
    <t>Global Proved Coal Reserves /tonnes</t>
  </si>
  <si>
    <t>m(coal) /metric tonnes</t>
  </si>
  <si>
    <t>Proportion of Carbon in Coal</t>
  </si>
  <si>
    <t>m (carbon) /metric tonnes</t>
  </si>
  <si>
    <t>m(CO2) /metric tonnes</t>
  </si>
  <si>
    <t>CO2/C ratio</t>
  </si>
  <si>
    <t>Mass of Earth's atmosphere /metric tonnes</t>
  </si>
  <si>
    <t>CO2/total atmosphere</t>
  </si>
  <si>
    <t>Prop of CO2 /ppm</t>
  </si>
  <si>
    <t>Global Proved Oil Reserves /barrels</t>
  </si>
  <si>
    <t>V(oil) /barrels</t>
  </si>
  <si>
    <t xml:space="preserve">Density of crude oil (tonne/barrel ) </t>
  </si>
  <si>
    <t>m (oil) /metric tonnes</t>
  </si>
  <si>
    <t>Natural Gas</t>
  </si>
  <si>
    <t>Proportion of carbon in oil (w/w)</t>
  </si>
  <si>
    <t>Gt CO2 emissions</t>
  </si>
  <si>
    <t>tonne CO2</t>
  </si>
  <si>
    <t>prop CO2 in atm</t>
  </si>
  <si>
    <t>prop CO2 /ppm</t>
  </si>
  <si>
    <t>Oil sands</t>
  </si>
  <si>
    <t>V(gas) / 10^9m^3</t>
  </si>
  <si>
    <t>E(gas) / 10^12 btu</t>
  </si>
  <si>
    <t>E(gas) /10^6 btu</t>
  </si>
  <si>
    <t>Proportion of carbon in natural gas (kg/10^6 btu)</t>
  </si>
  <si>
    <t>m(carbon) /kg</t>
  </si>
  <si>
    <t>m(carbon) /metric tonnes</t>
  </si>
  <si>
    <t>fract CO2/total atmosphere</t>
  </si>
  <si>
    <t>Shale tight oil</t>
  </si>
  <si>
    <t>V(gas) / ft^3</t>
  </si>
  <si>
    <t>V(gas /m^3</t>
  </si>
  <si>
    <t>Shale gas</t>
  </si>
  <si>
    <t>Total increase if all reserves burnt</t>
  </si>
  <si>
    <t>Current proportion of CO2 in atmosphere /ppm</t>
  </si>
  <si>
    <t>Total new proportion of CO2 in atm /ppm</t>
  </si>
  <si>
    <t>Oil Sands reserves /barrels</t>
  </si>
  <si>
    <t>Proven Natural Gas Reserves /10^9 m^3</t>
  </si>
  <si>
    <t>2015 (ref 2)</t>
  </si>
  <si>
    <t>2021 (ref 1)</t>
  </si>
  <si>
    <t>2022 (ref 4)</t>
  </si>
  <si>
    <t>2005 (ref 3)</t>
  </si>
  <si>
    <t>(ref 5)</t>
  </si>
  <si>
    <t>2021 (ref 6)</t>
  </si>
  <si>
    <t>2022 (ref 7)</t>
  </si>
  <si>
    <t>Fossil fuel used for non-combustion purposes (USA)</t>
  </si>
  <si>
    <t>Shale gas reserves /ft^3</t>
  </si>
  <si>
    <t>Shale tight oil reserves /10^9 barrels</t>
  </si>
  <si>
    <t>Accounting for 7% of fossil fuels being used for non-fuel purposes</t>
  </si>
  <si>
    <t>2018 (ref 8)</t>
  </si>
  <si>
    <t xml:space="preserve">Oil </t>
  </si>
  <si>
    <t>Increase in atmospheric CO2 /ppm</t>
  </si>
  <si>
    <t>Oil</t>
  </si>
  <si>
    <t>Shale oil</t>
  </si>
  <si>
    <t>Total increase if 93% reserves burnt /ppm</t>
  </si>
  <si>
    <t>Carbon bombs (oil, coal and gas)</t>
  </si>
  <si>
    <t>Prop of CO2 /ppm by wt</t>
  </si>
  <si>
    <t>Prop of CO2 /ppm v/v</t>
  </si>
  <si>
    <t>Conversion of wt/wt to Vol/Vol</t>
  </si>
  <si>
    <t>2017 (ref 9)</t>
  </si>
  <si>
    <t>2000 (ref 10)</t>
  </si>
  <si>
    <t>World Oil reserves</t>
  </si>
  <si>
    <t>Barrels</t>
  </si>
  <si>
    <t>ref 1</t>
  </si>
  <si>
    <t>Metric tonnes</t>
  </si>
  <si>
    <t>Consumption 1859-1968</t>
  </si>
  <si>
    <t>ref 2</t>
  </si>
  <si>
    <t xml:space="preserve">Proportion of carbon in Crude oil </t>
  </si>
  <si>
    <t>ref 4</t>
  </si>
  <si>
    <t>Consumption 1965-2005</t>
  </si>
  <si>
    <t>ref 3</t>
  </si>
  <si>
    <t>Tonnes carbon in world oil reserves</t>
  </si>
  <si>
    <t>Equivalent tonnes CO2</t>
  </si>
  <si>
    <t>Total tonnes CO2</t>
  </si>
  <si>
    <t>Total weight of earth's atmosphere</t>
  </si>
  <si>
    <t>ref 5</t>
  </si>
  <si>
    <t>So proportion C02 if all oil burnt</t>
  </si>
  <si>
    <t>In ppm (weight)</t>
  </si>
  <si>
    <t>Convert ppm (weight) to volume</t>
  </si>
  <si>
    <t>ref 9</t>
  </si>
  <si>
    <t>ppm (volume)</t>
  </si>
  <si>
    <t>Canadian Oil Sands</t>
  </si>
  <si>
    <t>barrels</t>
  </si>
  <si>
    <t>tonnes</t>
  </si>
  <si>
    <t>Proportion carbon</t>
  </si>
  <si>
    <t>Tonnes carbon</t>
  </si>
  <si>
    <t>Tonnes CO2</t>
  </si>
  <si>
    <t>Proportion CO2 if all canadian oil sands burnt</t>
  </si>
  <si>
    <t>In ppm</t>
  </si>
  <si>
    <t>Coal current reserves</t>
  </si>
  <si>
    <t>ref 6</t>
  </si>
  <si>
    <t>Proportion CO2 if all coal burnt</t>
  </si>
  <si>
    <t>Natural gas reserves (cubic feet)</t>
  </si>
  <si>
    <t>ref 7</t>
  </si>
  <si>
    <t>Conversion factor</t>
  </si>
  <si>
    <t>cubic metres</t>
  </si>
  <si>
    <t>total carbon</t>
  </si>
  <si>
    <t>Proportion CO2 if all gas burnt</t>
  </si>
  <si>
    <t>Current CO2</t>
  </si>
  <si>
    <t>(ppm)</t>
  </si>
  <si>
    <t>Amount if all oil burnt</t>
  </si>
  <si>
    <t>Plus tar sands</t>
  </si>
  <si>
    <t>Plus coal</t>
  </si>
  <si>
    <t>Plus Gas</t>
  </si>
  <si>
    <t>refs 2,3</t>
  </si>
  <si>
    <t>http://en.wikipedia.org/wiki/Oil_reserves</t>
  </si>
  <si>
    <t>http://www.worldcoal.org/pages/content/index.asp?PageID=188</t>
  </si>
  <si>
    <t>http://www.eia.doe.gov/oiaf/analysispaper/global/natgas.html</t>
  </si>
  <si>
    <t>ref 8</t>
  </si>
  <si>
    <t>http://www.epa.gov/gasstar/pdf/unitconverter_final.pdf</t>
  </si>
  <si>
    <t>http://en.wikipedia.org/wiki/Carbon_dioxide</t>
  </si>
  <si>
    <t>Amount Emission at Present</t>
  </si>
  <si>
    <t>Amount Emissions to use all Reserves</t>
  </si>
  <si>
    <t>TimeScale (years)</t>
  </si>
  <si>
    <t>Amount emissons per year if carbon burnt in time period</t>
  </si>
  <si>
    <t>Proportion going to Forests</t>
  </si>
  <si>
    <t>Proportion going to Soil</t>
  </si>
  <si>
    <t>Proportion going to ocean</t>
  </si>
  <si>
    <t>Total Absorbed</t>
  </si>
  <si>
    <t>Total to atmosphere</t>
  </si>
  <si>
    <t>Weight of atmosphere</t>
  </si>
  <si>
    <t>Incremental change in atmosphere pa</t>
  </si>
  <si>
    <t>(proportion)</t>
  </si>
  <si>
    <t>ppm (wt)</t>
  </si>
  <si>
    <t>ppm(vol)</t>
  </si>
  <si>
    <t>Change over period</t>
  </si>
  <si>
    <t>New Estimated total C02 in Atmosphere</t>
  </si>
  <si>
    <t>Forests</t>
  </si>
  <si>
    <t>billion tonnes</t>
  </si>
  <si>
    <t>https://www.clientearth.org/latest/latest-updates/stories/what-is-a-carbon-sink/</t>
  </si>
  <si>
    <t>Soil</t>
  </si>
  <si>
    <t>quarter human emissions'</t>
  </si>
  <si>
    <t>Ocean</t>
  </si>
  <si>
    <t>quarter all emissions</t>
  </si>
  <si>
    <t>BP review World Energy 2005</t>
  </si>
  <si>
    <t>World CO2 emissions</t>
  </si>
  <si>
    <t>Total</t>
  </si>
  <si>
    <t>Annual ppm pa</t>
  </si>
  <si>
    <t>Source:</t>
  </si>
  <si>
    <t>https://ourworldindata.org/co2-emissions</t>
  </si>
  <si>
    <t>Change in ppm over period</t>
  </si>
  <si>
    <t>Actual CO2 in 2005</t>
  </si>
  <si>
    <t>Actual CO2 in 2022</t>
  </si>
  <si>
    <t>Oil Sands</t>
  </si>
  <si>
    <t>Shale Oil</t>
  </si>
  <si>
    <t>Total m(CO2) metric tonnes</t>
  </si>
  <si>
    <t>Source</t>
  </si>
  <si>
    <t>AVAILABILITY, ECONOMICS,</t>
  </si>
  <si>
    <t xml:space="preserve">AND PRODUCTION POTENTIAL OF NORTH AMERICAN UNCONVENTIONAL NATURAL GAS SUPPLIES </t>
  </si>
  <si>
    <t>https://www.ingaa.org/File.aspx?id=7878</t>
  </si>
  <si>
    <t>INGAA Foundation 2008</t>
  </si>
  <si>
    <t>https://www.eia.gov/todayinenergy/detail.php?id=11611</t>
  </si>
  <si>
    <t>Shale oil and shale gas resources are globally abundant</t>
  </si>
  <si>
    <t>years</t>
  </si>
  <si>
    <t>What is the expected use of reserves from discount rate?</t>
  </si>
  <si>
    <t>RCP 1.5</t>
  </si>
  <si>
    <t>66% Chance</t>
  </si>
  <si>
    <t>50% Chance</t>
  </si>
  <si>
    <r>
      <t>GtCO</t>
    </r>
    <r>
      <rPr>
        <vertAlign val="subscript"/>
        <sz val="14"/>
        <color theme="1"/>
        <rFont val="Calibri (Body)"/>
      </rPr>
      <t>2</t>
    </r>
  </si>
  <si>
    <t>Source IPCC SR15</t>
  </si>
  <si>
    <t>https://www.ipcc.ch/sr15/</t>
  </si>
  <si>
    <t>RCP2.6</t>
  </si>
  <si>
    <t>CO2 Emissions 2012-2022</t>
  </si>
  <si>
    <t>Economist Our World in data</t>
  </si>
  <si>
    <t xml:space="preserve">International Energy Agency </t>
  </si>
  <si>
    <t>https://www.iea.org/reports/co2-emissions-in-2022</t>
  </si>
  <si>
    <t>Shale Gas</t>
  </si>
  <si>
    <t>GtCO2</t>
  </si>
  <si>
    <t>without coal</t>
  </si>
  <si>
    <t>Total 2013-22</t>
  </si>
  <si>
    <t>Estimated size when discovered</t>
  </si>
  <si>
    <t>Sold to Apache</t>
  </si>
  <si>
    <t>Estimated Extra</t>
  </si>
  <si>
    <t>Discovery</t>
  </si>
  <si>
    <t>BP estimate STOIIP</t>
  </si>
  <si>
    <t>4.2 billion barrels</t>
  </si>
  <si>
    <t>800 million barrels</t>
  </si>
  <si>
    <t>Production</t>
  </si>
  <si>
    <t>BP Reserves</t>
  </si>
  <si>
    <t>144 million barrels</t>
  </si>
  <si>
    <t>4.6 billion barrels</t>
  </si>
  <si>
    <t>https://geoexpro.com/the-first-uk-giant-oil-field/</t>
  </si>
  <si>
    <t>Recoverable reserves estimate</t>
  </si>
  <si>
    <t>1.8 billion</t>
  </si>
  <si>
    <t>Estimate</t>
  </si>
  <si>
    <t>Total Production</t>
  </si>
  <si>
    <t>2.64 billion</t>
  </si>
  <si>
    <r>
      <t>Publication</t>
    </r>
    <r>
      <rPr>
        <sz val="16"/>
        <color rgb="FF333333"/>
        <rFont val="Arial"/>
        <family val="2"/>
      </rPr>
      <t>: </t>
    </r>
    <r>
      <rPr>
        <sz val="16"/>
        <color rgb="FF707070"/>
        <rFont val="Arial"/>
        <family val="2"/>
      </rPr>
      <t>Geological Society, London, Memoirs</t>
    </r>
  </si>
  <si>
    <t>Volume 14</t>
  </si>
  <si>
    <r>
      <t>Pages </t>
    </r>
    <r>
      <rPr>
        <sz val="16"/>
        <color rgb="FF707070"/>
        <rFont val="Arial"/>
        <family val="2"/>
      </rPr>
      <t>301</t>
    </r>
    <r>
      <rPr>
        <sz val="16"/>
        <color rgb="FF333333"/>
        <rFont val="Arial"/>
        <family val="2"/>
      </rPr>
      <t> - </t>
    </r>
    <r>
      <rPr>
        <sz val="16"/>
        <color rgb="FF707070"/>
        <rFont val="Arial"/>
        <family val="2"/>
      </rPr>
      <t>308</t>
    </r>
  </si>
  <si>
    <t>https://doi.org/10.1144/GSL.MEM.1991.014.01.37</t>
  </si>
  <si>
    <t>2.47 billion</t>
  </si>
  <si>
    <t>https://www.ice.org.uk/what-is-civil-engineering/what-do-civil-engineers-do/forties-oil-field</t>
  </si>
  <si>
    <t>Apache Production 2003-12</t>
  </si>
  <si>
    <t>https://www.offshore-technology.com/projects/forties-oilfield-a-timeline/</t>
  </si>
  <si>
    <t>Reserves 2012</t>
  </si>
  <si>
    <t>130 million</t>
  </si>
  <si>
    <t>190 million</t>
  </si>
  <si>
    <t>Reserves</t>
  </si>
  <si>
    <t>https://www.drillingformulas.com/long-history-of-forties-field-north-sea/</t>
  </si>
  <si>
    <t xml:space="preserve">Apache produced </t>
  </si>
  <si>
    <t>235 million barrels</t>
  </si>
  <si>
    <t xml:space="preserve">reserves </t>
  </si>
  <si>
    <t>100 million</t>
  </si>
  <si>
    <t>https://www.hartenergy.com/ep/exclusives/forties-40-175647</t>
  </si>
  <si>
    <t>reserves</t>
  </si>
  <si>
    <t>29.3 million barrels</t>
  </si>
  <si>
    <t>1993-4</t>
  </si>
  <si>
    <t>1994-5</t>
  </si>
  <si>
    <t>1995-6</t>
  </si>
  <si>
    <t>1996-7</t>
  </si>
  <si>
    <t xml:space="preserve">1997-8 </t>
  </si>
  <si>
    <t>1998-9</t>
  </si>
  <si>
    <t>1Q Sales (Jan)</t>
  </si>
  <si>
    <t>2Q Sales (Apr)</t>
  </si>
  <si>
    <t>3Q Sales (Jul)</t>
  </si>
  <si>
    <t>4Q Sales (Oct)</t>
  </si>
  <si>
    <t>1H % of whole</t>
  </si>
  <si>
    <t>Non-Fuel Usage</t>
  </si>
  <si>
    <t>Net burnt</t>
  </si>
  <si>
    <t>Gas</t>
  </si>
  <si>
    <t xml:space="preserve">Coal </t>
  </si>
  <si>
    <t>Density Oil sands</t>
  </si>
  <si>
    <t xml:space="preserve">0.96 tonne/m3 </t>
  </si>
  <si>
    <t>Weight per barrel</t>
  </si>
  <si>
    <t>2000 (ref11)</t>
  </si>
  <si>
    <t>weight cubic metre gas</t>
  </si>
  <si>
    <t xml:space="preserve">CO2 per kg </t>
  </si>
  <si>
    <t>kg</t>
  </si>
  <si>
    <t>CO2 per m3</t>
  </si>
  <si>
    <t>CO2 in reserves</t>
  </si>
  <si>
    <t xml:space="preserve"> https://www.statista.com/statistics/271823/global-crude-oil-demand/</t>
  </si>
  <si>
    <t>Per year</t>
  </si>
  <si>
    <t>Life of Reserves</t>
  </si>
  <si>
    <t>Sub Bituminous &amp; Lignite</t>
  </si>
  <si>
    <t>Proportion of Carbon in Sub-Bituminous &amp; Lignite</t>
  </si>
  <si>
    <t>2022 (ref 12)</t>
  </si>
  <si>
    <t>Sub-Bitumenous Coal&amp;Lignite</t>
  </si>
  <si>
    <t>Lignite</t>
  </si>
  <si>
    <t>Deducting non-fuel usage</t>
  </si>
  <si>
    <t>CO2 ppm v/v</t>
  </si>
  <si>
    <t>Coal 2005</t>
  </si>
  <si>
    <t>World Coal Consumption million tonnes/day</t>
  </si>
  <si>
    <t>2023 (ref13) IEA</t>
  </si>
  <si>
    <t>Life of reserves</t>
  </si>
  <si>
    <t>World Oil Consumption million barrels/year</t>
  </si>
  <si>
    <t>World Gas Consumption trillion m3/year</t>
  </si>
  <si>
    <t>Statista 2022</t>
  </si>
  <si>
    <t>Sub Bituminous &amp; Lignite 2005</t>
  </si>
  <si>
    <t>Sub Bituminous Coal &amp; Lignite</t>
  </si>
  <si>
    <t>All Coal</t>
  </si>
  <si>
    <t>All Oil</t>
  </si>
  <si>
    <t>All Gas</t>
  </si>
  <si>
    <t>Gt CO2</t>
  </si>
  <si>
    <t>Total ppmv/v</t>
  </si>
  <si>
    <t>Stacked Bar Chart Test</t>
  </si>
  <si>
    <t>Cumulative Emisions 2005-2022</t>
  </si>
  <si>
    <t>Carbon Saved by Converting Coal to Gas</t>
  </si>
  <si>
    <t>Thermal Power Station</t>
  </si>
  <si>
    <t>MW</t>
  </si>
  <si>
    <t>Power Output</t>
  </si>
  <si>
    <t>Notional Energy Output</t>
  </si>
  <si>
    <t>MWh</t>
  </si>
  <si>
    <t>Capacity Factor</t>
  </si>
  <si>
    <t>Energy Output</t>
  </si>
  <si>
    <t>Conversions Source</t>
  </si>
  <si>
    <t xml:space="preserve"> https://www.ocean.washington.edu/courses/envir215/energynumbers.pdf</t>
  </si>
  <si>
    <t>Coal Chemical Energy</t>
  </si>
  <si>
    <t>MJ/kg</t>
  </si>
  <si>
    <t>MJ/tonne</t>
  </si>
  <si>
    <t>Energy Conversion</t>
  </si>
  <si>
    <t>KWh</t>
  </si>
  <si>
    <t>Joules</t>
  </si>
  <si>
    <t>MJ</t>
  </si>
  <si>
    <t>Coal Thermal Efficiency</t>
  </si>
  <si>
    <t>Theoretical mass of coal to produce power</t>
  </si>
  <si>
    <t>Energy from 1 tonne Coal</t>
  </si>
  <si>
    <t>Practical Mass of Coal to produce power</t>
  </si>
  <si>
    <t>Proportion of Carbon</t>
  </si>
  <si>
    <t>Carbon emitted</t>
  </si>
  <si>
    <t>CO2 emitted</t>
  </si>
  <si>
    <t>Gas Chemical Energy</t>
  </si>
  <si>
    <t>MJ/m3</t>
  </si>
  <si>
    <t>Btu</t>
  </si>
  <si>
    <t>Mass of m3 natural gas</t>
  </si>
  <si>
    <t>Gas Thermal Efficiency</t>
  </si>
  <si>
    <t>Theoretical Volume of Gas to produce power</t>
  </si>
  <si>
    <t>m3</t>
  </si>
  <si>
    <t>Practical Volume of Gas to produce power</t>
  </si>
  <si>
    <t>Proportion of carbon</t>
  </si>
  <si>
    <t>Mass of Gas</t>
  </si>
  <si>
    <t>Energy 1 tonne gas</t>
  </si>
  <si>
    <t>Cost Saving Gas vs Coal</t>
  </si>
  <si>
    <t>Carbon Price 0</t>
  </si>
  <si>
    <t>$20/tonne</t>
  </si>
  <si>
    <t>$50/tonne</t>
  </si>
  <si>
    <t>$75/tonne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</si>
</sst>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00E+00"/>
    <numFmt numFmtId="165" formatCode="0.000"/>
    <numFmt numFmtId="166" formatCode="0.0"/>
    <numFmt numFmtId="167" formatCode="0.0E+00"/>
    <numFmt numFmtId="168" formatCode="0.0000E+00"/>
    <numFmt numFmtId="169" formatCode="0.0%"/>
    <numFmt numFmtId="170" formatCode="_(* #,##0_);_(* \(#,##0\);_(* &quot;-&quot;??_);_(@_)"/>
    <numFmt numFmtId="171" formatCode="_(* #,##0_);_(* \(#,##0\);_(* &quot;-&quot;???_);_(@_)"/>
    <numFmt numFmtId="172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rgb="FF000000"/>
      <name val="Helvetica Neue"/>
      <family val="2"/>
    </font>
    <font>
      <b/>
      <sz val="15"/>
      <color theme="1"/>
      <name val="Arial"/>
      <family val="2"/>
    </font>
    <font>
      <vertAlign val="subscript"/>
      <sz val="14"/>
      <color theme="1"/>
      <name val="Calibri (Body)"/>
    </font>
    <font>
      <sz val="16"/>
      <color rgb="FF333333"/>
      <name val="Arial"/>
      <family val="2"/>
    </font>
    <font>
      <b/>
      <sz val="16"/>
      <color rgb="FF000000"/>
      <name val="Arial"/>
      <family val="2"/>
    </font>
    <font>
      <sz val="16"/>
      <color rgb="FF707070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" fontId="0" fillId="2" borderId="1" xfId="0" applyNumberFormat="1" applyFill="1" applyBorder="1"/>
    <xf numFmtId="0" fontId="1" fillId="0" borderId="0" xfId="1" applyAlignment="1" applyProtection="1"/>
    <xf numFmtId="0" fontId="0" fillId="0" borderId="6" xfId="0" applyBorder="1"/>
    <xf numFmtId="1" fontId="0" fillId="0" borderId="7" xfId="0" applyNumberFormat="1" applyBorder="1"/>
    <xf numFmtId="0" fontId="0" fillId="0" borderId="8" xfId="0" applyBorder="1"/>
    <xf numFmtId="1" fontId="0" fillId="0" borderId="9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10" xfId="0" applyBorder="1"/>
    <xf numFmtId="0" fontId="0" fillId="0" borderId="11" xfId="0" applyBorder="1"/>
    <xf numFmtId="1" fontId="0" fillId="0" borderId="12" xfId="0" applyNumberFormat="1" applyBorder="1"/>
    <xf numFmtId="9" fontId="0" fillId="0" borderId="3" xfId="2" applyFont="1" applyFill="1" applyBorder="1"/>
    <xf numFmtId="1" fontId="0" fillId="0" borderId="1" xfId="0" applyNumberFormat="1" applyBorder="1"/>
    <xf numFmtId="165" fontId="0" fillId="0" borderId="3" xfId="0" applyNumberFormat="1" applyBorder="1"/>
    <xf numFmtId="11" fontId="0" fillId="0" borderId="0" xfId="0" applyNumberFormat="1"/>
    <xf numFmtId="0" fontId="3" fillId="0" borderId="0" xfId="0" applyFont="1"/>
    <xf numFmtId="166" fontId="0" fillId="0" borderId="0" xfId="0" applyNumberFormat="1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13" xfId="0" applyBorder="1"/>
    <xf numFmtId="0" fontId="0" fillId="0" borderId="7" xfId="0" applyBorder="1"/>
    <xf numFmtId="0" fontId="0" fillId="0" borderId="12" xfId="0" applyBorder="1"/>
    <xf numFmtId="0" fontId="0" fillId="0" borderId="14" xfId="0" applyBorder="1"/>
    <xf numFmtId="1" fontId="0" fillId="0" borderId="14" xfId="0" applyNumberFormat="1" applyBorder="1"/>
    <xf numFmtId="0" fontId="0" fillId="0" borderId="9" xfId="0" applyBorder="1"/>
    <xf numFmtId="0" fontId="4" fillId="0" borderId="15" xfId="0" applyFont="1" applyBorder="1"/>
    <xf numFmtId="0" fontId="4" fillId="0" borderId="0" xfId="0" applyFont="1"/>
    <xf numFmtId="9" fontId="0" fillId="0" borderId="0" xfId="2" applyFont="1"/>
    <xf numFmtId="0" fontId="3" fillId="0" borderId="0" xfId="0" quotePrefix="1" applyFont="1"/>
    <xf numFmtId="164" fontId="0" fillId="3" borderId="1" xfId="0" applyNumberFormat="1" applyFill="1" applyBorder="1"/>
    <xf numFmtId="1" fontId="0" fillId="4" borderId="1" xfId="0" applyNumberFormat="1" applyFill="1" applyBorder="1"/>
    <xf numFmtId="0" fontId="5" fillId="0" borderId="1" xfId="0" applyFont="1" applyBorder="1"/>
    <xf numFmtId="0" fontId="5" fillId="0" borderId="6" xfId="0" applyFont="1" applyBorder="1"/>
    <xf numFmtId="164" fontId="0" fillId="5" borderId="1" xfId="0" applyNumberFormat="1" applyFill="1" applyBorder="1"/>
    <xf numFmtId="11" fontId="7" fillId="0" borderId="0" xfId="0" applyNumberFormat="1" applyFont="1"/>
    <xf numFmtId="11" fontId="0" fillId="0" borderId="1" xfId="0" applyNumberFormat="1" applyBorder="1"/>
    <xf numFmtId="2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" fontId="0" fillId="5" borderId="1" xfId="0" applyNumberFormat="1" applyFill="1" applyBorder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/>
    <xf numFmtId="169" fontId="0" fillId="0" borderId="0" xfId="2" applyNumberFormat="1" applyFont="1"/>
    <xf numFmtId="10" fontId="0" fillId="0" borderId="0" xfId="2" applyNumberFormat="1" applyFont="1"/>
    <xf numFmtId="3" fontId="0" fillId="0" borderId="1" xfId="0" applyNumberFormat="1" applyBorder="1"/>
    <xf numFmtId="3" fontId="0" fillId="0" borderId="0" xfId="0" applyNumberFormat="1"/>
    <xf numFmtId="0" fontId="0" fillId="5" borderId="0" xfId="0" applyFill="1"/>
    <xf numFmtId="169" fontId="0" fillId="5" borderId="0" xfId="2" applyNumberFormat="1" applyFont="1" applyFill="1"/>
    <xf numFmtId="164" fontId="0" fillId="5" borderId="0" xfId="0" applyNumberFormat="1" applyFill="1"/>
    <xf numFmtId="1" fontId="0" fillId="5" borderId="0" xfId="0" applyNumberFormat="1" applyFill="1"/>
    <xf numFmtId="0" fontId="0" fillId="6" borderId="0" xfId="0" applyFill="1"/>
    <xf numFmtId="169" fontId="0" fillId="6" borderId="0" xfId="2" applyNumberFormat="1" applyFont="1" applyFill="1"/>
    <xf numFmtId="164" fontId="0" fillId="6" borderId="0" xfId="0" applyNumberFormat="1" applyFill="1"/>
    <xf numFmtId="1" fontId="0" fillId="6" borderId="0" xfId="0" applyNumberFormat="1" applyFill="1"/>
    <xf numFmtId="0" fontId="5" fillId="5" borderId="0" xfId="0" applyFont="1" applyFill="1"/>
    <xf numFmtId="0" fontId="5" fillId="6" borderId="0" xfId="0" applyFont="1" applyFill="1"/>
    <xf numFmtId="170" fontId="0" fillId="0" borderId="3" xfId="3" applyNumberFormat="1" applyFont="1" applyBorder="1"/>
    <xf numFmtId="43" fontId="0" fillId="0" borderId="0" xfId="0" applyNumberFormat="1"/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0" fillId="7" borderId="0" xfId="0" applyFill="1"/>
    <xf numFmtId="0" fontId="7" fillId="7" borderId="0" xfId="0" applyFont="1" applyFill="1"/>
    <xf numFmtId="11" fontId="7" fillId="7" borderId="0" xfId="0" applyNumberFormat="1" applyFont="1" applyFill="1"/>
    <xf numFmtId="0" fontId="5" fillId="7" borderId="0" xfId="0" applyFont="1" applyFill="1"/>
    <xf numFmtId="11" fontId="5" fillId="7" borderId="0" xfId="0" applyNumberFormat="1" applyFont="1" applyFill="1"/>
    <xf numFmtId="2" fontId="0" fillId="7" borderId="0" xfId="0" applyNumberFormat="1" applyFill="1"/>
    <xf numFmtId="0" fontId="3" fillId="7" borderId="0" xfId="0" applyFont="1" applyFill="1"/>
    <xf numFmtId="11" fontId="0" fillId="7" borderId="0" xfId="0" applyNumberFormat="1" applyFill="1"/>
    <xf numFmtId="1" fontId="0" fillId="7" borderId="0" xfId="0" applyNumberFormat="1" applyFill="1"/>
    <xf numFmtId="170" fontId="0" fillId="5" borderId="0" xfId="3" applyNumberFormat="1" applyFont="1" applyFill="1"/>
    <xf numFmtId="9" fontId="0" fillId="5" borderId="0" xfId="0" applyNumberFormat="1" applyFill="1"/>
    <xf numFmtId="172" fontId="0" fillId="5" borderId="0" xfId="0" applyNumberFormat="1" applyFill="1"/>
    <xf numFmtId="170" fontId="0" fillId="5" borderId="0" xfId="0" applyNumberFormat="1" applyFill="1"/>
    <xf numFmtId="165" fontId="0" fillId="5" borderId="0" xfId="0" applyNumberFormat="1" applyFill="1"/>
    <xf numFmtId="171" fontId="0" fillId="5" borderId="0" xfId="0" applyNumberFormat="1" applyFill="1"/>
    <xf numFmtId="43" fontId="0" fillId="5" borderId="0" xfId="0" applyNumberFormat="1" applyFill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5" borderId="0" xfId="2" applyFont="1" applyFill="1"/>
  </cellXfs>
  <cellStyles count="4">
    <cellStyle name="Comma" xfId="3" builtinId="3"/>
    <cellStyle name="Hyperlink" xfId="1" builtinId="8"/>
    <cellStyle name="Normal" xfId="0" builtinId="0"/>
    <cellStyle name="Per 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Tables'!$B$5</c:f>
              <c:strCache>
                <c:ptCount val="1"/>
                <c:pt idx="0">
                  <c:v>1Q Sales (Jan)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Tables'!$C$3:$H$4</c:f>
              <c:strCache>
                <c:ptCount val="6"/>
                <c:pt idx="0">
                  <c:v>1993-4</c:v>
                </c:pt>
                <c:pt idx="1">
                  <c:v>1994-5</c:v>
                </c:pt>
                <c:pt idx="2">
                  <c:v>1995-6</c:v>
                </c:pt>
                <c:pt idx="3">
                  <c:v>1996-7</c:v>
                </c:pt>
                <c:pt idx="4">
                  <c:v>1997-8 </c:v>
                </c:pt>
                <c:pt idx="5">
                  <c:v>1998-9</c:v>
                </c:pt>
              </c:strCache>
            </c:strRef>
          </c:cat>
          <c:val>
            <c:numRef>
              <c:f>'Chart Tables'!$C$5:$H$5</c:f>
              <c:numCache>
                <c:formatCode>0.00</c:formatCode>
                <c:ptCount val="6"/>
                <c:pt idx="0">
                  <c:v>0</c:v>
                </c:pt>
                <c:pt idx="1">
                  <c:v>3289.5</c:v>
                </c:pt>
                <c:pt idx="2">
                  <c:v>1849.7732323232324</c:v>
                </c:pt>
                <c:pt idx="3">
                  <c:v>3992.5</c:v>
                </c:pt>
                <c:pt idx="4">
                  <c:v>7372.25</c:v>
                </c:pt>
                <c:pt idx="5">
                  <c:v>5994.1900000000005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B-854A-B151-66B974308E78}"/>
            </c:ext>
          </c:extLst>
        </c:ser>
        <c:ser>
          <c:idx val="1"/>
          <c:order val="1"/>
          <c:tx>
            <c:strRef>
              <c:f>'Chart Tables'!$B$6</c:f>
              <c:strCache>
                <c:ptCount val="1"/>
                <c:pt idx="0">
                  <c:v>2Q Sales (Apr)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Tables'!$C$3:$H$4</c:f>
              <c:strCache>
                <c:ptCount val="6"/>
                <c:pt idx="0">
                  <c:v>1993-4</c:v>
                </c:pt>
                <c:pt idx="1">
                  <c:v>1994-5</c:v>
                </c:pt>
                <c:pt idx="2">
                  <c:v>1995-6</c:v>
                </c:pt>
                <c:pt idx="3">
                  <c:v>1996-7</c:v>
                </c:pt>
                <c:pt idx="4">
                  <c:v>1997-8 </c:v>
                </c:pt>
                <c:pt idx="5">
                  <c:v>1998-9</c:v>
                </c:pt>
              </c:strCache>
            </c:strRef>
          </c:cat>
          <c:val>
            <c:numRef>
              <c:f>'Chart Tables'!$C$6:$H$6</c:f>
              <c:numCache>
                <c:formatCode>0.00</c:formatCode>
                <c:ptCount val="6"/>
                <c:pt idx="0">
                  <c:v>1530.12</c:v>
                </c:pt>
                <c:pt idx="1">
                  <c:v>5038.8694444444445</c:v>
                </c:pt>
                <c:pt idx="2">
                  <c:v>4991.6617391304353</c:v>
                </c:pt>
                <c:pt idx="3">
                  <c:v>0</c:v>
                </c:pt>
                <c:pt idx="4">
                  <c:v>10673.599999999999</c:v>
                </c:pt>
                <c:pt idx="5">
                  <c:v>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B-854A-B151-66B974308E78}"/>
            </c:ext>
          </c:extLst>
        </c:ser>
        <c:ser>
          <c:idx val="2"/>
          <c:order val="2"/>
          <c:tx>
            <c:strRef>
              <c:f>'Chart Tables'!$B$7</c:f>
              <c:strCache>
                <c:ptCount val="1"/>
                <c:pt idx="0">
                  <c:v>3Q Sales (Jul)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Tables'!$C$3:$H$4</c:f>
              <c:strCache>
                <c:ptCount val="6"/>
                <c:pt idx="0">
                  <c:v>1993-4</c:v>
                </c:pt>
                <c:pt idx="1">
                  <c:v>1994-5</c:v>
                </c:pt>
                <c:pt idx="2">
                  <c:v>1995-6</c:v>
                </c:pt>
                <c:pt idx="3">
                  <c:v>1996-7</c:v>
                </c:pt>
                <c:pt idx="4">
                  <c:v>1997-8 </c:v>
                </c:pt>
                <c:pt idx="5">
                  <c:v>1998-9</c:v>
                </c:pt>
              </c:strCache>
            </c:strRef>
          </c:cat>
          <c:val>
            <c:numRef>
              <c:f>'Chart Tables'!$C$7:$H$7</c:f>
              <c:numCache>
                <c:formatCode>0.00</c:formatCode>
                <c:ptCount val="6"/>
                <c:pt idx="0">
                  <c:v>675.57999999999993</c:v>
                </c:pt>
                <c:pt idx="1">
                  <c:v>6531.2303571428583</c:v>
                </c:pt>
                <c:pt idx="2">
                  <c:v>9224.58</c:v>
                </c:pt>
                <c:pt idx="3">
                  <c:v>0</c:v>
                </c:pt>
                <c:pt idx="4">
                  <c:v>2050</c:v>
                </c:pt>
                <c:pt idx="5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B-854A-B151-66B974308E78}"/>
            </c:ext>
          </c:extLst>
        </c:ser>
        <c:ser>
          <c:idx val="3"/>
          <c:order val="3"/>
          <c:tx>
            <c:strRef>
              <c:f>'Chart Tables'!$B$8</c:f>
              <c:strCache>
                <c:ptCount val="1"/>
                <c:pt idx="0">
                  <c:v>4Q Sales (Oct)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Tables'!$C$3:$H$4</c:f>
              <c:strCache>
                <c:ptCount val="6"/>
                <c:pt idx="0">
                  <c:v>1993-4</c:v>
                </c:pt>
                <c:pt idx="1">
                  <c:v>1994-5</c:v>
                </c:pt>
                <c:pt idx="2">
                  <c:v>1995-6</c:v>
                </c:pt>
                <c:pt idx="3">
                  <c:v>1996-7</c:v>
                </c:pt>
                <c:pt idx="4">
                  <c:v>1997-8 </c:v>
                </c:pt>
                <c:pt idx="5">
                  <c:v>1998-9</c:v>
                </c:pt>
              </c:strCache>
            </c:strRef>
          </c:cat>
          <c:val>
            <c:numRef>
              <c:f>'Chart Tables'!$C$8:$H$8</c:f>
              <c:numCache>
                <c:formatCode>0.00</c:formatCode>
                <c:ptCount val="6"/>
                <c:pt idx="0">
                  <c:v>3901</c:v>
                </c:pt>
                <c:pt idx="1">
                  <c:v>837.05357142857065</c:v>
                </c:pt>
                <c:pt idx="2">
                  <c:v>5299.3700000000026</c:v>
                </c:pt>
                <c:pt idx="3">
                  <c:v>0</c:v>
                </c:pt>
                <c:pt idx="4">
                  <c:v>3068.5</c:v>
                </c:pt>
                <c:pt idx="5">
                  <c:v>14289.500000000002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0B-854A-B151-66B974308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959175391"/>
        <c:axId val="1959177119"/>
      </c:barChart>
      <c:catAx>
        <c:axId val="195917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177119"/>
        <c:crosses val="autoZero"/>
        <c:auto val="1"/>
        <c:lblAlgn val="ctr"/>
        <c:lblOffset val="100"/>
        <c:noMultiLvlLbl val="0"/>
      </c:catAx>
      <c:valAx>
        <c:axId val="195917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175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GtCO2 by Fossil Fuel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Tables'!$C$40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Tables'!$D$39:$F$39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Tables'!$D$40:$F$40</c:f>
              <c:numCache>
                <c:formatCode>General</c:formatCode>
                <c:ptCount val="3"/>
                <c:pt idx="0">
                  <c:v>3385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6-0E40-9197-05BADACF07A8}"/>
            </c:ext>
          </c:extLst>
        </c:ser>
        <c:ser>
          <c:idx val="1"/>
          <c:order val="1"/>
          <c:tx>
            <c:strRef>
              <c:f>'Chart Tables'!$C$41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Tables'!$D$39:$F$39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Tables'!$D$41:$F$41</c:f>
              <c:numCache>
                <c:formatCode>General</c:formatCode>
                <c:ptCount val="3"/>
                <c:pt idx="1">
                  <c:v>686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6-0E40-9197-05BADACF07A8}"/>
            </c:ext>
          </c:extLst>
        </c:ser>
        <c:ser>
          <c:idx val="2"/>
          <c:order val="2"/>
          <c:tx>
            <c:strRef>
              <c:f>'Chart Tables'!$C$42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Tables'!$D$39:$F$39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Tables'!$D$42:$F$42</c:f>
              <c:numCache>
                <c:formatCode>General</c:formatCode>
                <c:ptCount val="3"/>
                <c:pt idx="0">
                  <c:v>0</c:v>
                </c:pt>
                <c:pt idx="2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56-0E40-9197-05BADACF07A8}"/>
            </c:ext>
          </c:extLst>
        </c:ser>
        <c:ser>
          <c:idx val="3"/>
          <c:order val="3"/>
          <c:tx>
            <c:strRef>
              <c:f>'Chart Tables'!$C$43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Tables'!$D$39:$F$39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Tables'!$D$43:$F$43</c:f>
              <c:numCache>
                <c:formatCode>General</c:formatCode>
                <c:ptCount val="3"/>
                <c:pt idx="0">
                  <c:v>0</c:v>
                </c:pt>
                <c:pt idx="1">
                  <c:v>177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56-0E40-9197-05BADACF07A8}"/>
            </c:ext>
          </c:extLst>
        </c:ser>
        <c:ser>
          <c:idx val="4"/>
          <c:order val="4"/>
          <c:tx>
            <c:strRef>
              <c:f>'Chart Tables'!$C$44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 Tables'!$D$39:$F$39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Tables'!$D$44:$F$44</c:f>
              <c:numCache>
                <c:formatCode>General</c:formatCode>
                <c:ptCount val="3"/>
                <c:pt idx="0">
                  <c:v>0</c:v>
                </c:pt>
                <c:pt idx="1">
                  <c:v>166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56-0E40-9197-05BADACF07A8}"/>
            </c:ext>
          </c:extLst>
        </c:ser>
        <c:ser>
          <c:idx val="5"/>
          <c:order val="5"/>
          <c:tx>
            <c:strRef>
              <c:f>'Chart Tables'!$C$45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 Tables'!$D$39:$F$39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Tables'!$D$45:$F$45</c:f>
              <c:numCache>
                <c:formatCode>General</c:formatCode>
                <c:ptCount val="3"/>
                <c:pt idx="0">
                  <c:v>0</c:v>
                </c:pt>
                <c:pt idx="2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56-0E40-9197-05BADACF0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57040831"/>
        <c:axId val="1957074335"/>
      </c:barChart>
      <c:catAx>
        <c:axId val="195704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074335"/>
        <c:crosses val="autoZero"/>
        <c:auto val="1"/>
        <c:lblAlgn val="ctr"/>
        <c:lblOffset val="100"/>
        <c:noMultiLvlLbl val="0"/>
      </c:catAx>
      <c:valAx>
        <c:axId val="195707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040831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Tables'!$H$40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774-F040-9305-F930E8D1B77E}"/>
              </c:ext>
            </c:extLst>
          </c:dPt>
          <c:cat>
            <c:strRef>
              <c:f>'Chart Tables'!$I$39:$K$39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Tables'!$I$40:$K$40</c:f>
              <c:numCache>
                <c:formatCode>General</c:formatCode>
                <c:ptCount val="3"/>
                <c:pt idx="0">
                  <c:v>2429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0-8C4A-94D9-4113CC4070AF}"/>
            </c:ext>
          </c:extLst>
        </c:ser>
        <c:ser>
          <c:idx val="1"/>
          <c:order val="1"/>
          <c:tx>
            <c:strRef>
              <c:f>'Chart Tables'!$H$41</c:f>
              <c:strCache>
                <c:ptCount val="1"/>
                <c:pt idx="0">
                  <c:v>Oil</c:v>
                </c:pt>
              </c:strCache>
            </c:strRef>
          </c:tx>
          <c:spPr>
            <a:pattFill prst="pct80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'Chart Tables'!$I$39:$K$39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Tables'!$I$41:$K$41</c:f>
              <c:numCache>
                <c:formatCode>General</c:formatCode>
                <c:ptCount val="3"/>
                <c:pt idx="1">
                  <c:v>475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0-8C4A-94D9-4113CC4070AF}"/>
            </c:ext>
          </c:extLst>
        </c:ser>
        <c:ser>
          <c:idx val="2"/>
          <c:order val="2"/>
          <c:tx>
            <c:strRef>
              <c:f>'Chart Tables'!$H$42</c:f>
              <c:strCache>
                <c:ptCount val="1"/>
                <c:pt idx="0">
                  <c:v>Natural Gas</c:v>
                </c:pt>
              </c:strCache>
            </c:strRef>
          </c:tx>
          <c:spPr>
            <a:pattFill prst="pct80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'Chart Tables'!$I$39:$K$39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Tables'!$I$42:$K$42</c:f>
              <c:numCache>
                <c:formatCode>General</c:formatCode>
                <c:ptCount val="3"/>
                <c:pt idx="0">
                  <c:v>0</c:v>
                </c:pt>
                <c:pt idx="2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0-8C4A-94D9-4113CC4070AF}"/>
            </c:ext>
          </c:extLst>
        </c:ser>
        <c:ser>
          <c:idx val="3"/>
          <c:order val="3"/>
          <c:tx>
            <c:strRef>
              <c:f>'Chart Tables'!$H$43</c:f>
              <c:strCache>
                <c:ptCount val="1"/>
                <c:pt idx="0">
                  <c:v>Oil Sands</c:v>
                </c:pt>
              </c:strCache>
            </c:strRef>
          </c:tx>
          <c:spPr>
            <a:pattFill prst="pct80">
              <a:fgClr>
                <a:schemeClr val="accent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'Chart Tables'!$I$39:$K$39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Tables'!$I$43:$K$43</c:f>
              <c:numCache>
                <c:formatCode>General</c:formatCode>
                <c:ptCount val="3"/>
                <c:pt idx="0">
                  <c:v>0</c:v>
                </c:pt>
                <c:pt idx="1">
                  <c:v>79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0-8C4A-94D9-4113CC4070AF}"/>
            </c:ext>
          </c:extLst>
        </c:ser>
        <c:ser>
          <c:idx val="4"/>
          <c:order val="4"/>
          <c:tx>
            <c:strRef>
              <c:f>'Chart Tables'!$H$44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 Tables'!$I$39:$K$39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Tables'!$I$44:$K$44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0-8C4A-94D9-4113CC4070AF}"/>
            </c:ext>
          </c:extLst>
        </c:ser>
        <c:ser>
          <c:idx val="5"/>
          <c:order val="5"/>
          <c:tx>
            <c:strRef>
              <c:f>'Chart Tables'!$H$45</c:f>
              <c:strCache>
                <c:ptCount val="1"/>
                <c:pt idx="0">
                  <c:v>Shale Gas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'Chart Tables'!$I$39:$K$39</c:f>
              <c:strCache>
                <c:ptCount val="3"/>
                <c:pt idx="0">
                  <c:v>Coal </c:v>
                </c:pt>
                <c:pt idx="1">
                  <c:v>Oil</c:v>
                </c:pt>
                <c:pt idx="2">
                  <c:v>Gas</c:v>
                </c:pt>
              </c:strCache>
            </c:strRef>
          </c:cat>
          <c:val>
            <c:numRef>
              <c:f>'Chart Tables'!$I$45:$K$45</c:f>
              <c:numCache>
                <c:formatCode>General</c:formatCode>
                <c:ptCount val="3"/>
                <c:pt idx="0">
                  <c:v>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0-8C4A-94D9-4113CC407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68950015"/>
        <c:axId val="1968952015"/>
      </c:barChart>
      <c:catAx>
        <c:axId val="196895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952015"/>
        <c:crosses val="autoZero"/>
        <c:auto val="1"/>
        <c:lblAlgn val="ctr"/>
        <c:lblOffset val="100"/>
        <c:noMultiLvlLbl val="0"/>
      </c:catAx>
      <c:valAx>
        <c:axId val="196895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95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1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Fossil Fuel Reserves 2005 - 3429 GtCO2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95-6F4B-8BF1-99780B1039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95-6F4B-8BF1-99780B1039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95-6F4B-8BF1-99780B103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95-6F4B-8BF1-99780B1039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95-6F4B-8BF1-99780B1039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395-6F4B-8BF1-99780B1039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7C4-454E-9BE8-B6EA76571192}"/>
              </c:ext>
            </c:extLst>
          </c:dPt>
          <c:cat>
            <c:strRef>
              <c:f>'2005 2022Compare'!$I$3:$I$9</c:f>
              <c:strCache>
                <c:ptCount val="7"/>
                <c:pt idx="0">
                  <c:v>Coal</c:v>
                </c:pt>
                <c:pt idx="1">
                  <c:v>Lignite</c:v>
                </c:pt>
                <c:pt idx="2">
                  <c:v>Oil</c:v>
                </c:pt>
                <c:pt idx="3">
                  <c:v>Natural Gas</c:v>
                </c:pt>
                <c:pt idx="4">
                  <c:v>Oil Sands</c:v>
                </c:pt>
                <c:pt idx="5">
                  <c:v>Shale Oil</c:v>
                </c:pt>
                <c:pt idx="6">
                  <c:v>Shale Gas</c:v>
                </c:pt>
              </c:strCache>
            </c:strRef>
          </c:cat>
          <c:val>
            <c:numRef>
              <c:f>'2005 2022Compare'!$J$3:$J$9</c:f>
              <c:numCache>
                <c:formatCode>0.000E+00</c:formatCode>
                <c:ptCount val="7"/>
                <c:pt idx="0">
                  <c:v>1580040000000</c:v>
                </c:pt>
                <c:pt idx="1">
                  <c:v>946644600000</c:v>
                </c:pt>
                <c:pt idx="2">
                  <c:v>510433579333.33331</c:v>
                </c:pt>
                <c:pt idx="3">
                  <c:v>281091766527</c:v>
                </c:pt>
                <c:pt idx="4">
                  <c:v>84857142857.142853</c:v>
                </c:pt>
                <c:pt idx="5">
                  <c:v>0</c:v>
                </c:pt>
                <c:pt idx="6">
                  <c:v>26378494372.363018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7-944D-99C5-DFDF066E0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Fossil Fuel Reserves 2022 - 5025 GtCO2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90680487368985"/>
          <c:y val="0.15190388170055455"/>
          <c:w val="0.53280342293661886"/>
          <c:h val="0.737652058742195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1B-014B-9BFC-20EE5C1D65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1B-014B-9BFC-20EE5C1D65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1B-014B-9BFC-20EE5C1D65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1B-014B-9BFC-20EE5C1D65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1B-014B-9BFC-20EE5C1D65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1B-014B-9BFC-20EE5C1D65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E0-7741-8618-BCFD41421914}"/>
              </c:ext>
            </c:extLst>
          </c:dPt>
          <c:cat>
            <c:strRef>
              <c:f>'2005 2022Compare'!$G$3:$G$9</c:f>
              <c:strCache>
                <c:ptCount val="7"/>
                <c:pt idx="0">
                  <c:v>Coal</c:v>
                </c:pt>
                <c:pt idx="1">
                  <c:v>Lignite</c:v>
                </c:pt>
                <c:pt idx="2">
                  <c:v>Oil</c:v>
                </c:pt>
                <c:pt idx="3">
                  <c:v>Natural Gas</c:v>
                </c:pt>
                <c:pt idx="4">
                  <c:v>Oil Sands</c:v>
                </c:pt>
                <c:pt idx="5">
                  <c:v>Shale Oil</c:v>
                </c:pt>
                <c:pt idx="6">
                  <c:v>Shale Gas</c:v>
                </c:pt>
              </c:strCache>
            </c:strRef>
          </c:cat>
          <c:val>
            <c:numRef>
              <c:f>'2005 2022Compare'!$H$3:$H$9</c:f>
              <c:numCache>
                <c:formatCode>0.000E+00</c:formatCode>
                <c:ptCount val="7"/>
                <c:pt idx="0">
                  <c:v>2486880000000</c:v>
                </c:pt>
                <c:pt idx="1">
                  <c:v>705031800000</c:v>
                </c:pt>
                <c:pt idx="2">
                  <c:v>737486610666.66663</c:v>
                </c:pt>
                <c:pt idx="3">
                  <c:v>339584850891.00006</c:v>
                </c:pt>
                <c:pt idx="4">
                  <c:v>190490784000</c:v>
                </c:pt>
                <c:pt idx="5">
                  <c:v>178079975333.33331</c:v>
                </c:pt>
                <c:pt idx="6">
                  <c:v>387324225700.86365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B-B34B-8285-1F7BED8C6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11</xdr:row>
      <xdr:rowOff>95250</xdr:rowOff>
    </xdr:from>
    <xdr:to>
      <xdr:col>9</xdr:col>
      <xdr:colOff>120650</xdr:colOff>
      <xdr:row>25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37C704-8788-7092-7874-ED25BC5FD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304800</xdr:colOff>
      <xdr:row>26</xdr:row>
      <xdr:rowOff>146050</xdr:rowOff>
    </xdr:from>
    <xdr:to>
      <xdr:col>21</xdr:col>
      <xdr:colOff>508000</xdr:colOff>
      <xdr:row>51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4CFE6CA-384F-8DE9-10DF-B56C0FC78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596900</xdr:colOff>
      <xdr:row>11</xdr:row>
      <xdr:rowOff>25400</xdr:rowOff>
    </xdr:from>
    <xdr:to>
      <xdr:col>24</xdr:col>
      <xdr:colOff>736600</xdr:colOff>
      <xdr:row>35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ADD5E83-0005-5180-51ED-C91FCB948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704850</xdr:colOff>
      <xdr:row>32</xdr:row>
      <xdr:rowOff>165100</xdr:rowOff>
    </xdr:from>
    <xdr:to>
      <xdr:col>18</xdr:col>
      <xdr:colOff>38100</xdr:colOff>
      <xdr:row>50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85BC2B-438B-3332-F214-6D63C1BE09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374650</xdr:colOff>
      <xdr:row>33</xdr:row>
      <xdr:rowOff>44450</xdr:rowOff>
    </xdr:from>
    <xdr:to>
      <xdr:col>10</xdr:col>
      <xdr:colOff>927100</xdr:colOff>
      <xdr:row>51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A7870D-4BF2-494E-51B8-1963A32DB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393700</xdr:colOff>
      <xdr:row>0</xdr:row>
      <xdr:rowOff>0</xdr:rowOff>
    </xdr:from>
    <xdr:to>
      <xdr:col>17</xdr:col>
      <xdr:colOff>139700</xdr:colOff>
      <xdr:row>12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63C90D-6027-2D4C-BE42-607C7AC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600"/>
          <a:ext cx="469900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12700</xdr:rowOff>
    </xdr:from>
    <xdr:to>
      <xdr:col>18</xdr:col>
      <xdr:colOff>520700</xdr:colOff>
      <xdr:row>18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B89DA1-8E6E-1E4F-906E-E818F22A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712470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</xdr:row>
      <xdr:rowOff>88900</xdr:rowOff>
    </xdr:from>
    <xdr:to>
      <xdr:col>19</xdr:col>
      <xdr:colOff>88900</xdr:colOff>
      <xdr:row>100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51103D-3DEC-4C42-8BCF-9AAFE53A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93500"/>
          <a:ext cx="7518400" cy="610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266700</xdr:colOff>
      <xdr:row>22</xdr:row>
      <xdr:rowOff>50800</xdr:rowOff>
    </xdr:from>
    <xdr:to>
      <xdr:col>18</xdr:col>
      <xdr:colOff>292100</xdr:colOff>
      <xdr:row>30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0A513C-71CC-2943-BB8D-FB453C16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60800"/>
          <a:ext cx="6629400" cy="158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635000</xdr:colOff>
      <xdr:row>33</xdr:row>
      <xdr:rowOff>127000</xdr:rowOff>
    </xdr:from>
    <xdr:to>
      <xdr:col>18</xdr:col>
      <xdr:colOff>88900</xdr:colOff>
      <xdr:row>51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BACBA2-51CD-D645-A1F6-F8D90BAD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40400"/>
          <a:ext cx="6057900" cy="341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228600</xdr:colOff>
      <xdr:row>108</xdr:row>
      <xdr:rowOff>63500</xdr:rowOff>
    </xdr:from>
    <xdr:to>
      <xdr:col>17</xdr:col>
      <xdr:colOff>419100</xdr:colOff>
      <xdr:row>125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F1A350-5364-CD4B-BD7E-1814B821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59400"/>
          <a:ext cx="5969000" cy="321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762000</xdr:colOff>
      <xdr:row>135</xdr:row>
      <xdr:rowOff>50800</xdr:rowOff>
    </xdr:from>
    <xdr:to>
      <xdr:col>17</xdr:col>
      <xdr:colOff>787400</xdr:colOff>
      <xdr:row>138</xdr:row>
      <xdr:rowOff>165100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EC8277E-0C63-7440-AD3A-CFF04768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504400"/>
          <a:ext cx="580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9</xdr:row>
      <xdr:rowOff>50800</xdr:rowOff>
    </xdr:from>
    <xdr:to>
      <xdr:col>13</xdr:col>
      <xdr:colOff>401482</xdr:colOff>
      <xdr:row>29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56A4F-C521-0526-17B7-9772F8458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00" y="1816100"/>
          <a:ext cx="10231282" cy="3771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parker/Downloads/Copy%20of%20Global_Warm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s"/>
      <sheetName val="references"/>
      <sheetName val="2022calc"/>
      <sheetName val="Carbon Sinks"/>
      <sheetName val="2022ref"/>
    </sheetNames>
    <sheetDataSet>
      <sheetData sheetId="0"/>
      <sheetData sheetId="1"/>
      <sheetData sheetId="2">
        <row r="10">
          <cell r="D10">
            <v>0.83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p.com/content/dam/bp/business-sites/en/global/corporate/pdfs/energy-economics/statistical-review/bp-stats-review-2021-full-report.pdf" TargetMode="External"/><Relationship Id="rId13" Type="http://schemas.openxmlformats.org/officeDocument/2006/relationships/hyperlink" Target="https://www.lenntech.com/calculators/ppm/converter-parts-per-million.htm" TargetMode="External"/><Relationship Id="rId18" Type="http://schemas.openxmlformats.org/officeDocument/2006/relationships/hyperlink" Target="https://www.iea.org/news/global-coal-demand-set-to-remain-at-record-levels-in-2023" TargetMode="External"/><Relationship Id="rId3" Type="http://schemas.openxmlformats.org/officeDocument/2006/relationships/hyperlink" Target="https://www.eia.gov/analysis/studies/worldshalegas/" TargetMode="External"/><Relationship Id="rId7" Type="http://schemas.openxmlformats.org/officeDocument/2006/relationships/hyperlink" Target="https://www.bp.com/content/dam/bp/business-sites/en/global/corporate/pdfs/energy-economics/statistical-review/bp-stats-review-2022-approximate-conversion-factors.pdf" TargetMode="External"/><Relationship Id="rId12" Type="http://schemas.openxmlformats.org/officeDocument/2006/relationships/hyperlink" Target="https://www.eia.gov/todayinenergy/detail.php?id=35672" TargetMode="External"/><Relationship Id="rId17" Type="http://schemas.openxmlformats.org/officeDocument/2006/relationships/hyperlink" Target="https://www.eia.gov/energyexplained/coal/" TargetMode="External"/><Relationship Id="rId2" Type="http://schemas.openxmlformats.org/officeDocument/2006/relationships/hyperlink" Target="https://www.eia.gov/analysis/studies/worldshalegas/" TargetMode="External"/><Relationship Id="rId16" Type="http://schemas.openxmlformats.org/officeDocument/2006/relationships/hyperlink" Target="https://energyeducation.ca/encyclopedia/Coal_types" TargetMode="External"/><Relationship Id="rId1" Type="http://schemas.openxmlformats.org/officeDocument/2006/relationships/hyperlink" Target="https://www.bp.com/content/dam/bp/business-sites/en/global/corporate/pdfs/energy-economics/statistical-review/bp-stats-review-2021-full-report.pdf" TargetMode="External"/><Relationship Id="rId6" Type="http://schemas.openxmlformats.org/officeDocument/2006/relationships/hyperlink" Target="https://www.noaa.gov/news-release/carbon-dioxide-now-more-than-50-higher-than-pre-industrial-levels" TargetMode="External"/><Relationship Id="rId11" Type="http://schemas.openxmlformats.org/officeDocument/2006/relationships/hyperlink" Target="https://journals.ametsoc.org/view/journals/clim/18/6/jcli-3299.1.xml" TargetMode="External"/><Relationship Id="rId5" Type="http://schemas.openxmlformats.org/officeDocument/2006/relationships/hyperlink" Target="https://www.bp.com/content/dam/bp/business-sites/en/global/corporate/pdfs/energy-economics/statistical-review/bp-stats-review-2021-full-report.pdf" TargetMode="External"/><Relationship Id="rId15" Type="http://schemas.openxmlformats.org/officeDocument/2006/relationships/hyperlink" Target="http://ffden-2.phys.uaf.edu/102spring2002_Web_projects/M.Sexton/" TargetMode="External"/><Relationship Id="rId10" Type="http://schemas.openxmlformats.org/officeDocument/2006/relationships/hyperlink" Target="https://www.britannica.com/science/crude-oil" TargetMode="External"/><Relationship Id="rId19" Type="http://schemas.openxmlformats.org/officeDocument/2006/relationships/hyperlink" Target="https://www.statista.com/statistics/282717/global-natural-gas-consumption/" TargetMode="External"/><Relationship Id="rId4" Type="http://schemas.openxmlformats.org/officeDocument/2006/relationships/hyperlink" Target="https://www.bp.com/content/dam/bp/business-sites/en/global/corporate/pdfs/energy-economics/statistical-review/bp-stats-review-2021-full-report.pdf" TargetMode="External"/><Relationship Id="rId9" Type="http://schemas.openxmlformats.org/officeDocument/2006/relationships/hyperlink" Target="https://www.epa.gov/energy/greenhouse-gases-equivalencies-calculator-calculations-and-references" TargetMode="External"/><Relationship Id="rId14" Type="http://schemas.openxmlformats.org/officeDocument/2006/relationships/hyperlink" Target="https://hypertextbook.com/facts/2000/RachelChu.s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geoexpro.com/the-first-uk-giant-oil-field/" TargetMode="External"/><Relationship Id="rId2" Type="http://schemas.openxmlformats.org/officeDocument/2006/relationships/hyperlink" Target="https://www.ice.org.uk/what-is-civil-engineering/what-do-civil-engineers-do/forties-oil-field" TargetMode="External"/><Relationship Id="rId1" Type="http://schemas.openxmlformats.org/officeDocument/2006/relationships/hyperlink" Target="https://doi.org/10.1144/GSL.MEM.1991.014.01.3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https://www.eia.gov/todayinenergy/detail.php?id=11611" TargetMode="Externa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50"/>
  <sheetViews>
    <sheetView tabSelected="1" workbookViewId="0">
      <selection activeCell="N30" sqref="N30"/>
    </sheetView>
  </sheetViews>
  <sheetFormatPr baseColWidth="10" defaultColWidth="8.83203125" defaultRowHeight="15" x14ac:dyDescent="0.2"/>
  <cols>
    <col min="1" max="1" width="51" bestFit="1" customWidth="1"/>
    <col min="2" max="2" width="14.33203125" customWidth="1"/>
    <col min="3" max="3" width="38.33203125" bestFit="1" customWidth="1"/>
    <col min="4" max="4" width="9.5" bestFit="1" customWidth="1"/>
    <col min="5" max="5" width="6.5" customWidth="1"/>
    <col min="6" max="6" width="24.5" bestFit="1" customWidth="1"/>
    <col min="7" max="7" width="12" style="1" bestFit="1" customWidth="1"/>
    <col min="8" max="8" width="6.83203125" customWidth="1"/>
    <col min="9" max="9" width="24.5" customWidth="1"/>
    <col min="10" max="10" width="10.1640625" bestFit="1" customWidth="1"/>
    <col min="12" max="12" width="23.6640625" customWidth="1"/>
    <col min="13" max="13" width="12" style="1" bestFit="1" customWidth="1"/>
    <col min="15" max="15" width="25.6640625" bestFit="1" customWidth="1"/>
    <col min="16" max="16" width="9.5" bestFit="1" customWidth="1"/>
    <col min="18" max="18" width="25.6640625" bestFit="1" customWidth="1"/>
    <col min="19" max="19" width="16.83203125" bestFit="1" customWidth="1"/>
    <col min="20" max="20" width="10.5" customWidth="1"/>
    <col min="21" max="21" width="24.1640625" bestFit="1" customWidth="1"/>
    <col min="22" max="22" width="12" style="1" bestFit="1" customWidth="1"/>
  </cols>
  <sheetData>
    <row r="2" spans="1:19" x14ac:dyDescent="0.2">
      <c r="A2" s="10" t="s">
        <v>1</v>
      </c>
      <c r="C2" s="85" t="s">
        <v>0</v>
      </c>
      <c r="D2" s="85"/>
      <c r="F2" s="85" t="s">
        <v>49</v>
      </c>
      <c r="G2" s="85"/>
      <c r="I2" s="88" t="s">
        <v>20</v>
      </c>
      <c r="J2" s="89"/>
      <c r="L2" s="85" t="s">
        <v>14</v>
      </c>
      <c r="M2" s="85"/>
      <c r="O2" s="88" t="s">
        <v>28</v>
      </c>
      <c r="P2" s="89"/>
      <c r="R2" s="85" t="s">
        <v>31</v>
      </c>
      <c r="S2" s="85"/>
    </row>
    <row r="3" spans="1:19" x14ac:dyDescent="0.2">
      <c r="A3" s="11">
        <v>1074108000000</v>
      </c>
      <c r="B3" s="5" t="s">
        <v>38</v>
      </c>
      <c r="C3" s="2" t="s">
        <v>2</v>
      </c>
      <c r="D3" s="3">
        <v>753600000000</v>
      </c>
      <c r="F3" s="2" t="s">
        <v>11</v>
      </c>
      <c r="G3" s="3">
        <f>A5</f>
        <v>1734800000000</v>
      </c>
      <c r="I3" s="2" t="s">
        <v>11</v>
      </c>
      <c r="J3" s="3">
        <f>$A$7</f>
        <v>423200000000</v>
      </c>
      <c r="L3" s="2" t="s">
        <v>21</v>
      </c>
      <c r="M3" s="3">
        <v>188100</v>
      </c>
      <c r="O3" s="2" t="s">
        <v>11</v>
      </c>
      <c r="P3" s="3">
        <f>$A$11*(10^9)</f>
        <v>418900000000</v>
      </c>
      <c r="R3" s="2" t="s">
        <v>29</v>
      </c>
      <c r="S3" s="3">
        <f>7576.6*(10^12)</f>
        <v>7576600000000000</v>
      </c>
    </row>
    <row r="4" spans="1:19" x14ac:dyDescent="0.2">
      <c r="A4" s="10" t="s">
        <v>10</v>
      </c>
      <c r="C4" s="2" t="s">
        <v>4</v>
      </c>
      <c r="D4" s="3">
        <f>D3*$A$17</f>
        <v>678240000000</v>
      </c>
      <c r="F4" s="2" t="s">
        <v>13</v>
      </c>
      <c r="G4" s="3">
        <f>G3*$A$24</f>
        <v>236626720000</v>
      </c>
      <c r="I4" s="2" t="s">
        <v>13</v>
      </c>
      <c r="J4" s="3">
        <f>J3*$A$24</f>
        <v>57724480000</v>
      </c>
      <c r="L4" s="2" t="s">
        <v>22</v>
      </c>
      <c r="M4" s="3">
        <f>A9*34.121</f>
        <v>6418160.1000000006</v>
      </c>
      <c r="O4" s="2" t="s">
        <v>13</v>
      </c>
      <c r="P4" s="3">
        <f>P3*$A$24</f>
        <v>57137960000</v>
      </c>
      <c r="R4" s="2" t="s">
        <v>30</v>
      </c>
      <c r="S4" s="3">
        <f>S3/35.315</f>
        <v>214543395157864.94</v>
      </c>
    </row>
    <row r="5" spans="1:19" x14ac:dyDescent="0.2">
      <c r="A5" s="12">
        <v>1734800000000</v>
      </c>
      <c r="B5" s="5" t="s">
        <v>38</v>
      </c>
      <c r="C5" s="2" t="s">
        <v>5</v>
      </c>
      <c r="D5" s="3">
        <f>D4*$A$15</f>
        <v>2486880000000</v>
      </c>
      <c r="F5" s="2" t="s">
        <v>4</v>
      </c>
      <c r="G5" s="3">
        <f>G4*$A$26</f>
        <v>201132712000</v>
      </c>
      <c r="I5" s="2" t="s">
        <v>4</v>
      </c>
      <c r="J5" s="3">
        <f>J4*$A$26</f>
        <v>49065808000</v>
      </c>
      <c r="L5" s="2" t="s">
        <v>23</v>
      </c>
      <c r="M5" s="3">
        <f>M4*(10^6)</f>
        <v>6418160100000.001</v>
      </c>
      <c r="O5" s="2" t="s">
        <v>4</v>
      </c>
      <c r="P5" s="3">
        <f>P4*$A$26</f>
        <v>48567266000</v>
      </c>
      <c r="R5" s="2" t="s">
        <v>21</v>
      </c>
      <c r="S5" s="3">
        <f>S4/(10^9)</f>
        <v>214543.39515786493</v>
      </c>
    </row>
    <row r="6" spans="1:19" x14ac:dyDescent="0.2">
      <c r="A6" s="10" t="s">
        <v>35</v>
      </c>
      <c r="C6" s="2" t="s">
        <v>27</v>
      </c>
      <c r="D6" s="3">
        <f>D5/$A$22</f>
        <v>4.8307692307692309E-4</v>
      </c>
      <c r="F6" s="2" t="s">
        <v>5</v>
      </c>
      <c r="G6" s="3">
        <f>G5*$A$15</f>
        <v>737486610666.66663</v>
      </c>
      <c r="I6" s="2" t="s">
        <v>5</v>
      </c>
      <c r="J6" s="3">
        <f>J5*$A$15</f>
        <v>179907962666.66666</v>
      </c>
      <c r="L6" s="2" t="s">
        <v>25</v>
      </c>
      <c r="M6" s="3">
        <f>M5*$A$28</f>
        <v>92614050243000.016</v>
      </c>
      <c r="O6" s="2" t="s">
        <v>5</v>
      </c>
      <c r="P6" s="3">
        <f>P5*$A$15</f>
        <v>178079975333.33331</v>
      </c>
      <c r="R6" s="2" t="s">
        <v>22</v>
      </c>
      <c r="S6" s="3">
        <f>S5*34.121</f>
        <v>7320435.1861815099</v>
      </c>
    </row>
    <row r="7" spans="1:19" x14ac:dyDescent="0.2">
      <c r="A7" s="14">
        <v>423200000000</v>
      </c>
      <c r="B7" s="5" t="s">
        <v>38</v>
      </c>
      <c r="C7" s="2" t="s">
        <v>55</v>
      </c>
      <c r="D7" s="18">
        <f>D6*(10^6)</f>
        <v>483.07692307692309</v>
      </c>
      <c r="F7" s="2" t="s">
        <v>27</v>
      </c>
      <c r="G7" s="3">
        <f>G6/$A$22</f>
        <v>1.4325691737891738E-4</v>
      </c>
      <c r="I7" s="2" t="s">
        <v>27</v>
      </c>
      <c r="J7" s="3">
        <f>J6/$A$22</f>
        <v>3.494715669515669E-5</v>
      </c>
      <c r="L7" s="2" t="s">
        <v>26</v>
      </c>
      <c r="M7" s="3">
        <f>M6/(10^3)</f>
        <v>92614050243.000015</v>
      </c>
      <c r="O7" s="2" t="s">
        <v>27</v>
      </c>
      <c r="P7" s="3">
        <f>P6/$A$22</f>
        <v>3.4592069800569794E-5</v>
      </c>
      <c r="R7" s="2" t="s">
        <v>23</v>
      </c>
      <c r="S7" s="3">
        <f>S6*(10^6)</f>
        <v>7320435186181.5098</v>
      </c>
    </row>
    <row r="8" spans="1:19" x14ac:dyDescent="0.2">
      <c r="A8" s="10" t="s">
        <v>36</v>
      </c>
      <c r="C8" s="2" t="s">
        <v>56</v>
      </c>
      <c r="D8" s="4">
        <f>D7*$A$35</f>
        <v>322.27819938461539</v>
      </c>
      <c r="F8" s="2" t="s">
        <v>9</v>
      </c>
      <c r="G8" s="18">
        <f>G7*(10^6)</f>
        <v>143.25691737891736</v>
      </c>
      <c r="I8" s="2" t="s">
        <v>9</v>
      </c>
      <c r="J8" s="18">
        <f>J7*(10^6)</f>
        <v>34.947156695156693</v>
      </c>
      <c r="L8" s="2" t="s">
        <v>5</v>
      </c>
      <c r="M8" s="3">
        <f>M7*$A$15</f>
        <v>339584850891.00006</v>
      </c>
      <c r="O8" s="2" t="s">
        <v>9</v>
      </c>
      <c r="P8" s="18">
        <f>P7*(10^6)</f>
        <v>34.592069800569796</v>
      </c>
      <c r="R8" s="2" t="s">
        <v>25</v>
      </c>
      <c r="S8" s="3">
        <f>S7*$A$28</f>
        <v>105633879736599.19</v>
      </c>
    </row>
    <row r="9" spans="1:19" x14ac:dyDescent="0.2">
      <c r="A9" s="11">
        <v>188100</v>
      </c>
      <c r="B9" s="5" t="s">
        <v>38</v>
      </c>
      <c r="C9" t="s">
        <v>243</v>
      </c>
      <c r="D9" s="66">
        <f>D3/(A47*1000000)</f>
        <v>90.795180722891573</v>
      </c>
      <c r="F9" s="2" t="s">
        <v>56</v>
      </c>
      <c r="G9" s="4">
        <f>G8*$A$35</f>
        <v>95.571904135268355</v>
      </c>
      <c r="I9" s="2" t="s">
        <v>56</v>
      </c>
      <c r="J9" s="4">
        <f>J8*$A$35</f>
        <v>23.314520307842731</v>
      </c>
      <c r="L9" s="2" t="s">
        <v>8</v>
      </c>
      <c r="M9" s="3">
        <f>M8/$A$22</f>
        <v>6.596442325000001E-5</v>
      </c>
      <c r="O9" s="2" t="s">
        <v>56</v>
      </c>
      <c r="P9" s="4">
        <f>P8*$A$35</f>
        <v>23.077628915300849</v>
      </c>
      <c r="R9" s="2" t="s">
        <v>26</v>
      </c>
      <c r="S9" s="3">
        <f>S8/(10^3)</f>
        <v>105633879736.59918</v>
      </c>
    </row>
    <row r="10" spans="1:19" x14ac:dyDescent="0.2">
      <c r="A10" s="14" t="s">
        <v>46</v>
      </c>
      <c r="B10" s="5"/>
      <c r="C10" t="s">
        <v>233</v>
      </c>
      <c r="L10" s="2" t="s">
        <v>9</v>
      </c>
      <c r="M10" s="18">
        <f>M9*(10^6)</f>
        <v>65.96442325000001</v>
      </c>
      <c r="R10" s="2" t="s">
        <v>5</v>
      </c>
      <c r="S10" s="3">
        <f>S9*$A$15</f>
        <v>387324225700.86365</v>
      </c>
    </row>
    <row r="11" spans="1:19" x14ac:dyDescent="0.2">
      <c r="A11" s="12">
        <v>418.9</v>
      </c>
      <c r="B11" s="5" t="s">
        <v>37</v>
      </c>
      <c r="C11" s="2" t="s">
        <v>2</v>
      </c>
      <c r="D11" s="3">
        <f>320469*1000000</f>
        <v>320469000000</v>
      </c>
      <c r="F11" t="s">
        <v>232</v>
      </c>
      <c r="G11" s="23">
        <f>(G3/1000000)/(A44)</f>
        <v>47.701351265609816</v>
      </c>
      <c r="I11" t="s">
        <v>232</v>
      </c>
      <c r="J11" s="23">
        <f>(J3/1000000)/(A44)</f>
        <v>11.636622005767855</v>
      </c>
      <c r="L11" s="2" t="s">
        <v>56</v>
      </c>
      <c r="M11" s="4">
        <f>M10*$A$35</f>
        <v>44.007267855081302</v>
      </c>
      <c r="O11" t="s">
        <v>232</v>
      </c>
      <c r="P11" s="23">
        <f>(P3/1000000)/(A44)</f>
        <v>11.518386007127019</v>
      </c>
      <c r="R11" s="2" t="s">
        <v>8</v>
      </c>
      <c r="S11" s="3">
        <f>S10/$A$22</f>
        <v>7.5237806080198844E-5</v>
      </c>
    </row>
    <row r="12" spans="1:19" x14ac:dyDescent="0.2">
      <c r="A12" s="10" t="s">
        <v>45</v>
      </c>
      <c r="C12" s="2" t="s">
        <v>4</v>
      </c>
      <c r="D12" s="3">
        <f>D11*$A$19</f>
        <v>192281400000</v>
      </c>
      <c r="R12" s="2" t="s">
        <v>9</v>
      </c>
      <c r="S12" s="18">
        <f>S11*(10^6)</f>
        <v>75.237806080198851</v>
      </c>
    </row>
    <row r="13" spans="1:19" x14ac:dyDescent="0.2">
      <c r="A13" s="12">
        <v>7576.6</v>
      </c>
      <c r="B13" s="5" t="s">
        <v>37</v>
      </c>
      <c r="C13" s="2" t="s">
        <v>5</v>
      </c>
      <c r="D13" s="3">
        <f>D12*$A$15</f>
        <v>705031800000</v>
      </c>
      <c r="L13" t="s">
        <v>232</v>
      </c>
      <c r="M13" s="23">
        <f>(M3/1000)/(A50)</f>
        <v>47.024999999999999</v>
      </c>
      <c r="R13" s="2" t="s">
        <v>56</v>
      </c>
      <c r="S13" s="4">
        <f>S12*$A$35</f>
        <v>50.193879092241971</v>
      </c>
    </row>
    <row r="14" spans="1:19" x14ac:dyDescent="0.2">
      <c r="A14" s="10" t="s">
        <v>6</v>
      </c>
      <c r="C14" s="2" t="s">
        <v>27</v>
      </c>
      <c r="D14" s="3">
        <f>D13/$A$22</f>
        <v>1.3695256410256411E-4</v>
      </c>
    </row>
    <row r="15" spans="1:19" x14ac:dyDescent="0.2">
      <c r="A15" s="13">
        <f>44/12</f>
        <v>3.6666666666666665</v>
      </c>
      <c r="C15" s="2" t="s">
        <v>55</v>
      </c>
      <c r="D15" s="18">
        <f>D14*(10^6)</f>
        <v>136.95256410256411</v>
      </c>
      <c r="L15" s="88" t="s">
        <v>54</v>
      </c>
      <c r="M15" s="89"/>
      <c r="R15" t="s">
        <v>232</v>
      </c>
      <c r="S15" s="23">
        <f>(S4/(A50*1000000000000))</f>
        <v>53.635848789466237</v>
      </c>
    </row>
    <row r="16" spans="1:19" x14ac:dyDescent="0.2">
      <c r="A16" s="10" t="s">
        <v>3</v>
      </c>
      <c r="C16" s="2" t="s">
        <v>56</v>
      </c>
      <c r="D16" s="4">
        <f>D15*$A$35</f>
        <v>91.366040586153844</v>
      </c>
      <c r="L16" s="2" t="s">
        <v>16</v>
      </c>
      <c r="M16" s="2">
        <v>1182.3</v>
      </c>
    </row>
    <row r="17" spans="1:18" x14ac:dyDescent="0.2">
      <c r="A17" s="12">
        <v>0.9</v>
      </c>
      <c r="B17" s="5" t="s">
        <v>235</v>
      </c>
      <c r="C17" t="s">
        <v>243</v>
      </c>
      <c r="D17" s="66">
        <f>D11/(A47*1000000)</f>
        <v>38.610722891566262</v>
      </c>
      <c r="L17" s="2" t="s">
        <v>17</v>
      </c>
      <c r="M17" s="2">
        <f>M16*(10^9)</f>
        <v>1182300000000</v>
      </c>
    </row>
    <row r="18" spans="1:18" x14ac:dyDescent="0.2">
      <c r="A18" s="10" t="s">
        <v>234</v>
      </c>
      <c r="L18" s="2" t="s">
        <v>18</v>
      </c>
      <c r="M18" s="3">
        <f>M17/$A$22</f>
        <v>2.2966200466200467E-4</v>
      </c>
    </row>
    <row r="19" spans="1:18" x14ac:dyDescent="0.2">
      <c r="A19" s="12">
        <v>0.6</v>
      </c>
      <c r="B19" s="5" t="s">
        <v>235</v>
      </c>
      <c r="F19" s="85" t="s">
        <v>240</v>
      </c>
      <c r="G19" s="85"/>
      <c r="L19" s="2" t="s">
        <v>19</v>
      </c>
      <c r="M19" s="18">
        <f>M18*(10^6)</f>
        <v>229.66200466200468</v>
      </c>
      <c r="R19" s="23"/>
    </row>
    <row r="20" spans="1:18" x14ac:dyDescent="0.2">
      <c r="C20" s="86" t="s">
        <v>50</v>
      </c>
      <c r="D20" s="87"/>
      <c r="F20" s="2" t="s">
        <v>2</v>
      </c>
      <c r="G20" s="3">
        <v>478800000000</v>
      </c>
      <c r="L20" s="2" t="s">
        <v>56</v>
      </c>
      <c r="M20" s="4">
        <f>M19*$A$35</f>
        <v>153.21588300699301</v>
      </c>
    </row>
    <row r="21" spans="1:18" x14ac:dyDescent="0.2">
      <c r="A21" s="10" t="s">
        <v>7</v>
      </c>
      <c r="C21" s="15" t="s">
        <v>0</v>
      </c>
      <c r="D21" s="16">
        <f>D8</f>
        <v>322.27819938461539</v>
      </c>
      <c r="F21" s="2" t="s">
        <v>4</v>
      </c>
      <c r="G21" s="3">
        <f>G20*$A$17</f>
        <v>430920000000</v>
      </c>
    </row>
    <row r="22" spans="1:18" x14ac:dyDescent="0.2">
      <c r="A22" s="12">
        <v>5148000000000000</v>
      </c>
      <c r="B22" s="5" t="s">
        <v>40</v>
      </c>
      <c r="C22" s="15" t="s">
        <v>248</v>
      </c>
      <c r="D22" s="16">
        <f>D16</f>
        <v>91.366040586153844</v>
      </c>
      <c r="F22" s="2" t="s">
        <v>5</v>
      </c>
      <c r="G22" s="3">
        <f>G21*$A$15</f>
        <v>1580040000000</v>
      </c>
    </row>
    <row r="23" spans="1:18" x14ac:dyDescent="0.2">
      <c r="A23" s="10" t="s">
        <v>12</v>
      </c>
      <c r="C23" s="15" t="s">
        <v>51</v>
      </c>
      <c r="D23" s="16">
        <f>G9</f>
        <v>95.571904135268355</v>
      </c>
      <c r="F23" s="2" t="s">
        <v>27</v>
      </c>
      <c r="G23" s="3">
        <f>G22/$A$22</f>
        <v>3.0692307692307692E-4</v>
      </c>
      <c r="I23" s="53"/>
    </row>
    <row r="24" spans="1:18" x14ac:dyDescent="0.2">
      <c r="A24" s="12">
        <v>0.13639999999999999</v>
      </c>
      <c r="B24" s="5" t="s">
        <v>39</v>
      </c>
      <c r="C24" s="15" t="s">
        <v>20</v>
      </c>
      <c r="D24" s="16">
        <f>J9</f>
        <v>23.314520307842731</v>
      </c>
      <c r="F24" s="2" t="s">
        <v>55</v>
      </c>
      <c r="G24" s="18">
        <f>G23*(10^6)</f>
        <v>306.92307692307691</v>
      </c>
      <c r="I24" s="53" t="s">
        <v>225</v>
      </c>
      <c r="J24">
        <v>0.76</v>
      </c>
      <c r="K24" t="s">
        <v>227</v>
      </c>
    </row>
    <row r="25" spans="1:18" x14ac:dyDescent="0.2">
      <c r="A25" s="10" t="s">
        <v>15</v>
      </c>
      <c r="C25" s="15" t="s">
        <v>14</v>
      </c>
      <c r="D25" s="16">
        <f>M11</f>
        <v>44.007267855081302</v>
      </c>
      <c r="F25" s="2" t="s">
        <v>56</v>
      </c>
      <c r="G25" s="4">
        <f>G24*$A$35</f>
        <v>204.75955661538458</v>
      </c>
      <c r="I25" s="54"/>
    </row>
    <row r="26" spans="1:18" x14ac:dyDescent="0.2">
      <c r="A26" s="14">
        <v>0.85</v>
      </c>
      <c r="B26" s="5" t="s">
        <v>41</v>
      </c>
      <c r="C26" s="15" t="s">
        <v>52</v>
      </c>
      <c r="D26" s="16">
        <f>P9</f>
        <v>23.077628915300849</v>
      </c>
      <c r="G26"/>
      <c r="I26" t="s">
        <v>226</v>
      </c>
      <c r="J26">
        <v>2.75</v>
      </c>
      <c r="K26" t="s">
        <v>227</v>
      </c>
    </row>
    <row r="27" spans="1:18" x14ac:dyDescent="0.2">
      <c r="A27" s="10" t="s">
        <v>24</v>
      </c>
      <c r="C27" s="8" t="s">
        <v>31</v>
      </c>
      <c r="D27" s="9">
        <f>S13</f>
        <v>50.193879092241971</v>
      </c>
      <c r="F27" s="85" t="s">
        <v>247</v>
      </c>
      <c r="G27" s="85"/>
      <c r="I27">
        <f>24/30</f>
        <v>0.8</v>
      </c>
    </row>
    <row r="28" spans="1:18" x14ac:dyDescent="0.2">
      <c r="A28" s="12">
        <v>14.43</v>
      </c>
      <c r="B28" s="5" t="s">
        <v>42</v>
      </c>
      <c r="F28" s="2" t="s">
        <v>2</v>
      </c>
      <c r="G28" s="3">
        <f>430293*1000000</f>
        <v>430293000000</v>
      </c>
      <c r="I28" t="s">
        <v>228</v>
      </c>
      <c r="J28">
        <f>J26*J24</f>
        <v>2.09</v>
      </c>
      <c r="K28" t="s">
        <v>227</v>
      </c>
    </row>
    <row r="29" spans="1:18" x14ac:dyDescent="0.2">
      <c r="A29" s="14" t="s">
        <v>33</v>
      </c>
      <c r="F29" s="2" t="s">
        <v>4</v>
      </c>
      <c r="G29" s="3">
        <f>G28*$A$19</f>
        <v>258175800000</v>
      </c>
      <c r="J29">
        <f>J28/1000</f>
        <v>2.0899999999999998E-3</v>
      </c>
      <c r="K29" t="s">
        <v>82</v>
      </c>
    </row>
    <row r="30" spans="1:18" x14ac:dyDescent="0.2">
      <c r="A30" s="12">
        <v>420.99</v>
      </c>
      <c r="B30" s="5" t="s">
        <v>43</v>
      </c>
      <c r="C30" s="6" t="s">
        <v>32</v>
      </c>
      <c r="D30" s="7">
        <f>SUM(D21:D27)</f>
        <v>649.80944027650446</v>
      </c>
      <c r="F30" s="2" t="s">
        <v>5</v>
      </c>
      <c r="G30" s="3">
        <f>G29*$A$15</f>
        <v>946644600000</v>
      </c>
      <c r="I30" t="s">
        <v>229</v>
      </c>
      <c r="J30" s="1">
        <f>J29*A9*1000000000</f>
        <v>393128999999.99994</v>
      </c>
    </row>
    <row r="31" spans="1:18" x14ac:dyDescent="0.2">
      <c r="A31" s="10" t="s">
        <v>44</v>
      </c>
      <c r="C31" s="8" t="s">
        <v>34</v>
      </c>
      <c r="D31" s="9">
        <f>$D$30+$A$30</f>
        <v>1070.7994402765044</v>
      </c>
      <c r="F31" s="2" t="s">
        <v>27</v>
      </c>
      <c r="G31" s="3">
        <f>G30/$A$22</f>
        <v>1.8388589743589744E-4</v>
      </c>
    </row>
    <row r="32" spans="1:18" x14ac:dyDescent="0.2">
      <c r="A32" s="17">
        <v>7.0000000000000007E-2</v>
      </c>
      <c r="B32" s="5" t="s">
        <v>48</v>
      </c>
      <c r="F32" s="2" t="s">
        <v>55</v>
      </c>
      <c r="G32" s="18">
        <f>G31*(10^6)</f>
        <v>183.88589743589745</v>
      </c>
    </row>
    <row r="33" spans="1:7" x14ac:dyDescent="0.2">
      <c r="C33" t="s">
        <v>47</v>
      </c>
      <c r="F33" s="2" t="s">
        <v>56</v>
      </c>
      <c r="G33" s="4">
        <f>G32*$A$35</f>
        <v>122.67697562615385</v>
      </c>
    </row>
    <row r="34" spans="1:7" x14ac:dyDescent="0.2">
      <c r="A34" s="10" t="s">
        <v>57</v>
      </c>
      <c r="C34" s="6" t="s">
        <v>53</v>
      </c>
      <c r="D34" s="7">
        <f>D30*0.93</f>
        <v>604.32277945714918</v>
      </c>
    </row>
    <row r="35" spans="1:7" x14ac:dyDescent="0.2">
      <c r="A35" s="19">
        <f>(258/500)*1.2929</f>
        <v>0.66713639999999996</v>
      </c>
      <c r="B35" s="5" t="s">
        <v>58</v>
      </c>
      <c r="C35" s="8" t="s">
        <v>34</v>
      </c>
      <c r="D35" s="9">
        <f>D34+$A$30</f>
        <v>1025.3127794571492</v>
      </c>
    </row>
    <row r="36" spans="1:7" x14ac:dyDescent="0.2">
      <c r="B36" s="5" t="s">
        <v>59</v>
      </c>
    </row>
    <row r="37" spans="1:7" x14ac:dyDescent="0.2">
      <c r="A37" s="10" t="s">
        <v>221</v>
      </c>
    </row>
    <row r="38" spans="1:7" x14ac:dyDescent="0.2">
      <c r="A38" s="14" t="s">
        <v>222</v>
      </c>
      <c r="B38" s="5" t="s">
        <v>224</v>
      </c>
    </row>
    <row r="39" spans="1:7" x14ac:dyDescent="0.2">
      <c r="A39" s="14" t="s">
        <v>223</v>
      </c>
    </row>
    <row r="40" spans="1:7" x14ac:dyDescent="0.2">
      <c r="A40" s="19">
        <f>0.96*0.158987</f>
        <v>0.15262751999999999</v>
      </c>
    </row>
    <row r="41" spans="1:7" x14ac:dyDescent="0.2">
      <c r="A41" s="10" t="s">
        <v>244</v>
      </c>
    </row>
    <row r="42" spans="1:7" x14ac:dyDescent="0.2">
      <c r="A42" s="14">
        <v>99.57</v>
      </c>
      <c r="B42" t="s">
        <v>230</v>
      </c>
    </row>
    <row r="43" spans="1:7" x14ac:dyDescent="0.2">
      <c r="A43" s="14" t="s">
        <v>231</v>
      </c>
    </row>
    <row r="44" spans="1:7" x14ac:dyDescent="0.2">
      <c r="A44" s="65">
        <f>99.57*365.25</f>
        <v>36367.942499999997</v>
      </c>
    </row>
    <row r="45" spans="1:7" x14ac:dyDescent="0.2">
      <c r="A45" s="10" t="s">
        <v>241</v>
      </c>
    </row>
    <row r="46" spans="1:7" x14ac:dyDescent="0.2">
      <c r="A46" s="14" t="s">
        <v>231</v>
      </c>
    </row>
    <row r="47" spans="1:7" x14ac:dyDescent="0.2">
      <c r="A47" s="65">
        <v>8300</v>
      </c>
      <c r="B47" s="5" t="s">
        <v>242</v>
      </c>
    </row>
    <row r="48" spans="1:7" x14ac:dyDescent="0.2">
      <c r="A48" s="10" t="s">
        <v>245</v>
      </c>
    </row>
    <row r="49" spans="1:2" x14ac:dyDescent="0.2">
      <c r="A49" s="14" t="s">
        <v>231</v>
      </c>
    </row>
    <row r="50" spans="1:2" x14ac:dyDescent="0.2">
      <c r="A50" s="65">
        <v>4</v>
      </c>
      <c r="B50" s="5" t="s">
        <v>246</v>
      </c>
    </row>
  </sheetData>
  <mergeCells count="10">
    <mergeCell ref="F27:G27"/>
    <mergeCell ref="C20:D20"/>
    <mergeCell ref="L15:M15"/>
    <mergeCell ref="R2:S2"/>
    <mergeCell ref="C2:D2"/>
    <mergeCell ref="F2:G2"/>
    <mergeCell ref="L2:M2"/>
    <mergeCell ref="I2:J2"/>
    <mergeCell ref="O2:P2"/>
    <mergeCell ref="F19:G19"/>
  </mergeCells>
  <hyperlinks>
    <hyperlink ref="B3" r:id="rId1" xr:uid="{00000000-0004-0000-0000-000000000000}"/>
    <hyperlink ref="B11" r:id="rId2" xr:uid="{00000000-0004-0000-0000-000001000000}"/>
    <hyperlink ref="B13" r:id="rId3" xr:uid="{00000000-0004-0000-0000-000002000000}"/>
    <hyperlink ref="B5" r:id="rId4" xr:uid="{00000000-0004-0000-0000-000003000000}"/>
    <hyperlink ref="B9" r:id="rId5" xr:uid="{00000000-0004-0000-0000-000004000000}"/>
    <hyperlink ref="B30" r:id="rId6" display="2022 (ref 3)" xr:uid="{00000000-0004-0000-0000-000005000000}"/>
    <hyperlink ref="B24" r:id="rId7" display="2022 (ref 3)" xr:uid="{00000000-0004-0000-0000-000006000000}"/>
    <hyperlink ref="B7" r:id="rId8" xr:uid="{00000000-0004-0000-0000-000007000000}"/>
    <hyperlink ref="B28" r:id="rId9" display="uih" xr:uid="{00000000-0004-0000-0000-000008000000}"/>
    <hyperlink ref="B26" r:id="rId10" display="(ref 4)" xr:uid="{00000000-0004-0000-0000-000009000000}"/>
    <hyperlink ref="B22" r:id="rId11" location=":~:text=The%20total%20mean%20mass%20of,smaller%20than%20the%20previous%20estimate." xr:uid="{00000000-0004-0000-0000-00000A000000}"/>
    <hyperlink ref="B32" r:id="rId12" xr:uid="{00000000-0004-0000-0000-00000B000000}"/>
    <hyperlink ref="B35" r:id="rId13" xr:uid="{C1C3BFBC-60F7-B94B-A880-AB5966DAAC33}"/>
    <hyperlink ref="B36" r:id="rId14" xr:uid="{F419357C-2548-4E4D-8F21-2A47A9C386E4}"/>
    <hyperlink ref="B38" r:id="rId15" location=":~:text=Oil%20sands%20are%20substantially%20heavier,793%20kilograms%20per%20cubic%20meter." xr:uid="{55179EFA-8C3C-5541-A8DC-542845186095}"/>
    <hyperlink ref="B17" r:id="rId16" xr:uid="{688466CF-3610-7045-8A3A-E6CCE93FCC43}"/>
    <hyperlink ref="B19" r:id="rId17" location=":~:text=Types%20of%20coal,energy%20the%20coal%20can%20produce." xr:uid="{FE2F38C0-150E-5A4C-8DFC-3E9B4199115F}"/>
    <hyperlink ref="B47" r:id="rId18" location=":~:text=Coal%20consumption%20in%202022%20rose,Update%2C%20which%20was%20published%20today." xr:uid="{7F7AAED8-6555-FE4C-AE1F-9B721E08EC22}"/>
    <hyperlink ref="B50" r:id="rId19" location=":~:text=Worldwide%20natural%20gas%20consumption%20has,roughly%204.04%20trillion%20cubic%20meters" xr:uid="{EC8A85B5-9BD5-D140-BA9D-97C037E4EC58}"/>
  </hyperlinks>
  <pageMargins left="0.7" right="0.7" top="0.75" bottom="0.75" header="0.3" footer="0.3"/>
  <pageSetup paperSize="9" scale="74" fitToWidth="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015B-3251-3845-B2F5-96E9C4B0170E}">
  <dimension ref="B2:K46"/>
  <sheetViews>
    <sheetView workbookViewId="0">
      <selection activeCell="M18" sqref="M18"/>
    </sheetView>
  </sheetViews>
  <sheetFormatPr baseColWidth="10" defaultRowHeight="15" x14ac:dyDescent="0.2"/>
  <cols>
    <col min="5" max="5" width="11.83203125" bestFit="1" customWidth="1"/>
  </cols>
  <sheetData>
    <row r="2" spans="2:8" x14ac:dyDescent="0.2">
      <c r="E2" t="s">
        <v>254</v>
      </c>
    </row>
    <row r="3" spans="2:8" x14ac:dyDescent="0.2">
      <c r="C3" t="s">
        <v>206</v>
      </c>
      <c r="D3" t="s">
        <v>207</v>
      </c>
      <c r="E3" t="s">
        <v>208</v>
      </c>
      <c r="F3" t="s">
        <v>209</v>
      </c>
      <c r="G3" t="s">
        <v>210</v>
      </c>
      <c r="H3" t="s">
        <v>211</v>
      </c>
    </row>
    <row r="5" spans="2:8" x14ac:dyDescent="0.2">
      <c r="B5" t="s">
        <v>212</v>
      </c>
      <c r="C5" s="24">
        <v>0</v>
      </c>
      <c r="D5" s="24">
        <v>3289.5</v>
      </c>
      <c r="E5" s="24">
        <v>1849.7732323232324</v>
      </c>
      <c r="F5" s="24">
        <v>3992.5</v>
      </c>
      <c r="G5" s="24">
        <v>7372.25</v>
      </c>
      <c r="H5" s="24">
        <v>5994.1900000000005</v>
      </c>
    </row>
    <row r="6" spans="2:8" x14ac:dyDescent="0.2">
      <c r="B6" t="s">
        <v>213</v>
      </c>
      <c r="C6" s="24">
        <v>1530.12</v>
      </c>
      <c r="D6" s="24">
        <v>5038.8694444444445</v>
      </c>
      <c r="E6" s="24">
        <v>4991.6617391304353</v>
      </c>
      <c r="F6" s="24">
        <v>0</v>
      </c>
      <c r="G6" s="24">
        <v>10673.599999999999</v>
      </c>
      <c r="H6" s="24">
        <v>8009</v>
      </c>
    </row>
    <row r="7" spans="2:8" x14ac:dyDescent="0.2">
      <c r="B7" t="s">
        <v>214</v>
      </c>
      <c r="C7" s="24">
        <v>675.57999999999993</v>
      </c>
      <c r="D7" s="24">
        <v>6531.2303571428583</v>
      </c>
      <c r="E7" s="24">
        <v>9224.58</v>
      </c>
      <c r="F7" s="24">
        <v>0</v>
      </c>
      <c r="G7" s="24">
        <v>2050</v>
      </c>
      <c r="H7" s="24">
        <v>2050</v>
      </c>
    </row>
    <row r="8" spans="2:8" x14ac:dyDescent="0.2">
      <c r="B8" t="s">
        <v>215</v>
      </c>
      <c r="C8" s="24">
        <v>3901</v>
      </c>
      <c r="D8" s="24">
        <v>837.05357142857065</v>
      </c>
      <c r="E8" s="24">
        <v>5299.3700000000026</v>
      </c>
      <c r="F8" s="24">
        <v>0</v>
      </c>
      <c r="G8" s="24">
        <v>3068.5</v>
      </c>
      <c r="H8" s="24">
        <v>14289.500000000002</v>
      </c>
    </row>
    <row r="9" spans="2:8" x14ac:dyDescent="0.2">
      <c r="B9" t="s">
        <v>135</v>
      </c>
      <c r="C9" s="24">
        <v>6106.7</v>
      </c>
      <c r="D9" s="24">
        <v>15696.653373015874</v>
      </c>
      <c r="E9" s="24">
        <v>21365.38497145367</v>
      </c>
      <c r="F9" s="24">
        <v>3992.5</v>
      </c>
      <c r="G9" s="24">
        <v>23164.35</v>
      </c>
      <c r="H9" s="24">
        <v>30342.690000000002</v>
      </c>
    </row>
    <row r="10" spans="2:8" x14ac:dyDescent="0.2">
      <c r="B10" t="s">
        <v>216</v>
      </c>
      <c r="C10" s="34">
        <v>0.2505641344752485</v>
      </c>
      <c r="D10" s="34">
        <v>0.53058249083602427</v>
      </c>
      <c r="E10" s="34">
        <v>0.32021117244526703</v>
      </c>
      <c r="F10" s="34">
        <v>1</v>
      </c>
      <c r="G10" s="34">
        <v>0.77903545750258474</v>
      </c>
      <c r="H10" s="34">
        <v>0.46150127098157745</v>
      </c>
    </row>
    <row r="30" spans="2:11" x14ac:dyDescent="0.2">
      <c r="B30" t="s">
        <v>217</v>
      </c>
      <c r="D30">
        <v>2022</v>
      </c>
      <c r="E30" t="s">
        <v>218</v>
      </c>
      <c r="F30" t="s">
        <v>166</v>
      </c>
      <c r="G30" t="s">
        <v>217</v>
      </c>
      <c r="I30">
        <v>2005</v>
      </c>
    </row>
    <row r="31" spans="2:11" x14ac:dyDescent="0.2">
      <c r="B31" s="51">
        <v>4.4999999999999998E-2</v>
      </c>
      <c r="C31" t="s">
        <v>0</v>
      </c>
      <c r="D31">
        <v>3544556400000</v>
      </c>
      <c r="E31">
        <f>D31*(1-B31)</f>
        <v>3385051362000</v>
      </c>
      <c r="F31" s="25">
        <f>E31/1000000000</f>
        <v>3385.0513620000002</v>
      </c>
      <c r="G31" s="51">
        <v>4.4999999999999998E-2</v>
      </c>
      <c r="H31" t="s">
        <v>0</v>
      </c>
      <c r="I31">
        <v>2543689500000</v>
      </c>
      <c r="J31">
        <f>I31*(1-G31)</f>
        <v>2429223472500</v>
      </c>
      <c r="K31" s="25">
        <f>J31/1000000000</f>
        <v>2429.2234724999998</v>
      </c>
    </row>
    <row r="32" spans="2:11" x14ac:dyDescent="0.2">
      <c r="B32" s="51">
        <v>7.0000000000000007E-2</v>
      </c>
      <c r="C32" t="s">
        <v>51</v>
      </c>
      <c r="D32">
        <v>737486610666.66663</v>
      </c>
      <c r="E32">
        <f t="shared" ref="E32:E36" si="0">D32*(1-B32)</f>
        <v>685862547919.99988</v>
      </c>
      <c r="F32" s="25">
        <f t="shared" ref="F32:F36" si="1">E32/1000000000</f>
        <v>685.86254791999988</v>
      </c>
      <c r="G32" s="51">
        <v>7.0000000000000007E-2</v>
      </c>
      <c r="H32" t="s">
        <v>51</v>
      </c>
      <c r="I32">
        <v>510433579333.33331</v>
      </c>
      <c r="J32">
        <f t="shared" ref="J32:J36" si="2">I32*(1-G32)</f>
        <v>474703228779.99994</v>
      </c>
      <c r="K32" s="25">
        <f t="shared" ref="K32:K36" si="3">J32/1000000000</f>
        <v>474.70322877999996</v>
      </c>
    </row>
    <row r="33" spans="2:11" x14ac:dyDescent="0.2">
      <c r="B33" s="52">
        <v>3.7499999999999999E-2</v>
      </c>
      <c r="C33" t="s">
        <v>14</v>
      </c>
      <c r="D33">
        <v>339584850891.00006</v>
      </c>
      <c r="E33">
        <f t="shared" si="0"/>
        <v>326850418982.58759</v>
      </c>
      <c r="F33" s="25">
        <f t="shared" si="1"/>
        <v>326.8504189825876</v>
      </c>
      <c r="G33" s="52">
        <v>3.7499999999999999E-2</v>
      </c>
      <c r="H33" t="s">
        <v>14</v>
      </c>
      <c r="I33">
        <v>281091766527</v>
      </c>
      <c r="J33">
        <f t="shared" si="2"/>
        <v>270550825282.23752</v>
      </c>
      <c r="K33" s="25">
        <f t="shared" si="3"/>
        <v>270.5508252822375</v>
      </c>
    </row>
    <row r="34" spans="2:11" x14ac:dyDescent="0.2">
      <c r="B34" s="51">
        <v>7.0000000000000007E-2</v>
      </c>
      <c r="C34" t="s">
        <v>142</v>
      </c>
      <c r="D34">
        <v>190490784000</v>
      </c>
      <c r="E34">
        <f t="shared" si="0"/>
        <v>177156429120</v>
      </c>
      <c r="F34" s="25">
        <f t="shared" si="1"/>
        <v>177.15642912000001</v>
      </c>
      <c r="G34" s="51">
        <v>7.0000000000000007E-2</v>
      </c>
      <c r="H34" t="s">
        <v>142</v>
      </c>
      <c r="I34">
        <v>84857142857.142853</v>
      </c>
      <c r="J34">
        <f t="shared" si="2"/>
        <v>78917142857.142853</v>
      </c>
      <c r="K34" s="25">
        <f t="shared" si="3"/>
        <v>78.917142857142849</v>
      </c>
    </row>
    <row r="35" spans="2:11" x14ac:dyDescent="0.2">
      <c r="B35" s="51">
        <v>7.0000000000000007E-2</v>
      </c>
      <c r="C35" t="s">
        <v>143</v>
      </c>
      <c r="D35">
        <v>178079975333.33331</v>
      </c>
      <c r="E35">
        <f t="shared" si="0"/>
        <v>165614377059.99997</v>
      </c>
      <c r="F35" s="25">
        <f t="shared" si="1"/>
        <v>165.61437705999998</v>
      </c>
      <c r="G35" s="51">
        <v>7.0000000000000007E-2</v>
      </c>
      <c r="H35" t="s">
        <v>143</v>
      </c>
      <c r="I35">
        <v>0</v>
      </c>
      <c r="J35">
        <f t="shared" si="2"/>
        <v>0</v>
      </c>
      <c r="K35" s="25">
        <f t="shared" si="3"/>
        <v>0</v>
      </c>
    </row>
    <row r="36" spans="2:11" x14ac:dyDescent="0.2">
      <c r="B36" s="52">
        <v>3.7499999999999999E-2</v>
      </c>
      <c r="C36" t="s">
        <v>165</v>
      </c>
      <c r="D36">
        <v>387324225700.86365</v>
      </c>
      <c r="E36">
        <f t="shared" si="0"/>
        <v>372799567237.0813</v>
      </c>
      <c r="F36" s="25">
        <f t="shared" si="1"/>
        <v>372.79956723708131</v>
      </c>
      <c r="G36" s="52">
        <v>3.7499999999999999E-2</v>
      </c>
      <c r="H36" t="s">
        <v>165</v>
      </c>
      <c r="I36">
        <v>26378494372.363018</v>
      </c>
      <c r="J36">
        <f t="shared" si="2"/>
        <v>25389300833.399406</v>
      </c>
      <c r="K36" s="25">
        <f t="shared" si="3"/>
        <v>25.389300833399407</v>
      </c>
    </row>
    <row r="37" spans="2:11" x14ac:dyDescent="0.2">
      <c r="F37" s="25">
        <f>SUM(F31:F36)</f>
        <v>5113.3347023196693</v>
      </c>
    </row>
    <row r="39" spans="2:11" x14ac:dyDescent="0.2">
      <c r="D39" t="s">
        <v>220</v>
      </c>
      <c r="E39" t="s">
        <v>51</v>
      </c>
      <c r="F39" t="s">
        <v>219</v>
      </c>
      <c r="I39" t="s">
        <v>220</v>
      </c>
      <c r="J39" t="s">
        <v>51</v>
      </c>
      <c r="K39" t="s">
        <v>219</v>
      </c>
    </row>
    <row r="40" spans="2:11" x14ac:dyDescent="0.2">
      <c r="C40" t="s">
        <v>0</v>
      </c>
      <c r="D40">
        <v>3385</v>
      </c>
      <c r="E40">
        <v>0</v>
      </c>
      <c r="F40">
        <v>0</v>
      </c>
      <c r="H40" t="s">
        <v>0</v>
      </c>
      <c r="I40">
        <v>2429</v>
      </c>
      <c r="J40">
        <v>0</v>
      </c>
      <c r="K40">
        <v>0</v>
      </c>
    </row>
    <row r="41" spans="2:11" x14ac:dyDescent="0.2">
      <c r="C41" t="s">
        <v>51</v>
      </c>
      <c r="E41">
        <v>686</v>
      </c>
      <c r="F41">
        <v>0</v>
      </c>
      <c r="H41" t="s">
        <v>51</v>
      </c>
      <c r="J41">
        <v>475</v>
      </c>
      <c r="K41">
        <v>0</v>
      </c>
    </row>
    <row r="42" spans="2:11" x14ac:dyDescent="0.2">
      <c r="C42" t="s">
        <v>14</v>
      </c>
      <c r="D42">
        <v>0</v>
      </c>
      <c r="F42">
        <v>327</v>
      </c>
      <c r="H42" t="s">
        <v>14</v>
      </c>
      <c r="I42">
        <v>0</v>
      </c>
      <c r="K42">
        <v>271</v>
      </c>
    </row>
    <row r="43" spans="2:11" x14ac:dyDescent="0.2">
      <c r="C43" t="s">
        <v>142</v>
      </c>
      <c r="D43">
        <v>0</v>
      </c>
      <c r="E43">
        <v>177</v>
      </c>
      <c r="F43">
        <v>0</v>
      </c>
      <c r="H43" t="s">
        <v>142</v>
      </c>
      <c r="I43">
        <v>0</v>
      </c>
      <c r="J43">
        <v>79</v>
      </c>
      <c r="K43">
        <v>0</v>
      </c>
    </row>
    <row r="44" spans="2:11" x14ac:dyDescent="0.2">
      <c r="C44" t="s">
        <v>143</v>
      </c>
      <c r="D44">
        <v>0</v>
      </c>
      <c r="E44">
        <v>166</v>
      </c>
      <c r="F44">
        <v>0</v>
      </c>
      <c r="H44" t="s">
        <v>143</v>
      </c>
      <c r="I44">
        <v>0</v>
      </c>
      <c r="J44">
        <v>0</v>
      </c>
      <c r="K44">
        <v>0</v>
      </c>
    </row>
    <row r="45" spans="2:11" x14ac:dyDescent="0.2">
      <c r="C45" t="s">
        <v>165</v>
      </c>
      <c r="D45">
        <v>0</v>
      </c>
      <c r="F45">
        <v>373</v>
      </c>
      <c r="H45" t="s">
        <v>165</v>
      </c>
      <c r="I45">
        <v>0</v>
      </c>
      <c r="K45">
        <v>25</v>
      </c>
    </row>
    <row r="46" spans="2:11" x14ac:dyDescent="0.2">
      <c r="D46">
        <f>SUM(D40:D45)</f>
        <v>3385</v>
      </c>
      <c r="E46">
        <f t="shared" ref="E46:F46" si="4">SUM(E40:E45)</f>
        <v>1029</v>
      </c>
      <c r="F46">
        <f t="shared" si="4"/>
        <v>700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F31E2-0C18-9540-816B-BEF9E4AEACF3}">
  <dimension ref="B3:L36"/>
  <sheetViews>
    <sheetView workbookViewId="0">
      <selection activeCell="F31" sqref="F31"/>
    </sheetView>
  </sheetViews>
  <sheetFormatPr baseColWidth="10" defaultRowHeight="15" x14ac:dyDescent="0.2"/>
  <sheetData>
    <row r="3" spans="2:6" x14ac:dyDescent="0.2">
      <c r="B3" t="s">
        <v>172</v>
      </c>
      <c r="D3">
        <v>1970</v>
      </c>
    </row>
    <row r="5" spans="2:6" x14ac:dyDescent="0.2">
      <c r="B5" t="s">
        <v>169</v>
      </c>
      <c r="D5" t="s">
        <v>179</v>
      </c>
      <c r="F5" s="5" t="s">
        <v>180</v>
      </c>
    </row>
    <row r="6" spans="2:6" x14ac:dyDescent="0.2">
      <c r="B6" t="s">
        <v>181</v>
      </c>
      <c r="D6" t="s">
        <v>182</v>
      </c>
      <c r="F6" s="5" t="s">
        <v>191</v>
      </c>
    </row>
    <row r="8" spans="2:6" x14ac:dyDescent="0.2">
      <c r="B8" t="s">
        <v>176</v>
      </c>
      <c r="D8">
        <v>1975</v>
      </c>
    </row>
    <row r="9" spans="2:6" x14ac:dyDescent="0.2">
      <c r="B9" t="s">
        <v>197</v>
      </c>
      <c r="D9" t="s">
        <v>190</v>
      </c>
    </row>
    <row r="12" spans="2:6" x14ac:dyDescent="0.2">
      <c r="D12">
        <v>1975</v>
      </c>
    </row>
    <row r="14" spans="2:6" ht="20" x14ac:dyDescent="0.2">
      <c r="D14">
        <v>1991</v>
      </c>
      <c r="F14" s="48" t="s">
        <v>186</v>
      </c>
    </row>
    <row r="15" spans="2:6" ht="20" x14ac:dyDescent="0.2">
      <c r="F15" s="49" t="s">
        <v>187</v>
      </c>
    </row>
    <row r="16" spans="2:6" ht="20" x14ac:dyDescent="0.2">
      <c r="B16" t="s">
        <v>170</v>
      </c>
      <c r="D16">
        <v>2003</v>
      </c>
      <c r="F16" s="50" t="s">
        <v>188</v>
      </c>
    </row>
    <row r="17" spans="2:6" x14ac:dyDescent="0.2">
      <c r="F17" s="5" t="s">
        <v>189</v>
      </c>
    </row>
    <row r="18" spans="2:6" x14ac:dyDescent="0.2">
      <c r="B18" t="s">
        <v>173</v>
      </c>
      <c r="D18" t="s">
        <v>174</v>
      </c>
    </row>
    <row r="19" spans="2:6" x14ac:dyDescent="0.2">
      <c r="B19" t="s">
        <v>177</v>
      </c>
      <c r="D19" t="s">
        <v>178</v>
      </c>
      <c r="F19" t="s">
        <v>198</v>
      </c>
    </row>
    <row r="20" spans="2:6" x14ac:dyDescent="0.2">
      <c r="B20" t="s">
        <v>171</v>
      </c>
      <c r="D20" t="s">
        <v>175</v>
      </c>
    </row>
    <row r="23" spans="2:6" x14ac:dyDescent="0.2">
      <c r="B23" t="s">
        <v>183</v>
      </c>
      <c r="D23">
        <v>2010</v>
      </c>
    </row>
    <row r="24" spans="2:6" x14ac:dyDescent="0.2">
      <c r="B24" t="s">
        <v>184</v>
      </c>
      <c r="D24" t="s">
        <v>185</v>
      </c>
      <c r="F24" t="s">
        <v>180</v>
      </c>
    </row>
    <row r="26" spans="2:6" x14ac:dyDescent="0.2">
      <c r="B26" t="s">
        <v>192</v>
      </c>
      <c r="D26" t="s">
        <v>196</v>
      </c>
      <c r="E26" t="s">
        <v>193</v>
      </c>
    </row>
    <row r="27" spans="2:6" x14ac:dyDescent="0.2">
      <c r="B27" t="s">
        <v>194</v>
      </c>
      <c r="D27" t="s">
        <v>195</v>
      </c>
    </row>
    <row r="30" spans="2:6" x14ac:dyDescent="0.2">
      <c r="D30">
        <v>2015</v>
      </c>
    </row>
    <row r="31" spans="2:6" x14ac:dyDescent="0.2">
      <c r="B31" t="s">
        <v>199</v>
      </c>
      <c r="D31" t="s">
        <v>200</v>
      </c>
      <c r="F31" t="s">
        <v>203</v>
      </c>
    </row>
    <row r="32" spans="2:6" x14ac:dyDescent="0.2">
      <c r="B32" t="s">
        <v>201</v>
      </c>
      <c r="D32" t="s">
        <v>202</v>
      </c>
    </row>
    <row r="34" spans="2:12" x14ac:dyDescent="0.2">
      <c r="D34">
        <v>2023</v>
      </c>
    </row>
    <row r="35" spans="2:12" x14ac:dyDescent="0.2">
      <c r="B35" t="s">
        <v>204</v>
      </c>
      <c r="D35" t="s">
        <v>205</v>
      </c>
      <c r="L35">
        <v>2640</v>
      </c>
    </row>
    <row r="36" spans="2:12" x14ac:dyDescent="0.2">
      <c r="L36">
        <v>30</v>
      </c>
    </row>
  </sheetData>
  <hyperlinks>
    <hyperlink ref="F17" r:id="rId1" xr:uid="{F9C1CF7E-3DB8-674E-B29A-A856E3F436E7}"/>
    <hyperlink ref="F6" r:id="rId2" xr:uid="{45728A7B-9DB0-364E-9B6C-451304D232F1}"/>
    <hyperlink ref="F5" r:id="rId3" xr:uid="{F5EC0E95-90D0-A24C-9064-5EE2EADF431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3F08F-790B-9446-9C80-4FC150249094}">
  <dimension ref="C2:V77"/>
  <sheetViews>
    <sheetView topLeftCell="B9" workbookViewId="0">
      <selection activeCell="T48" sqref="T48"/>
    </sheetView>
  </sheetViews>
  <sheetFormatPr baseColWidth="10" defaultRowHeight="15" x14ac:dyDescent="0.2"/>
  <cols>
    <col min="3" max="3" width="22.33203125" customWidth="1"/>
    <col min="4" max="4" width="21.5" customWidth="1"/>
    <col min="5" max="5" width="14.83203125" customWidth="1"/>
    <col min="8" max="8" width="11.83203125" bestFit="1" customWidth="1"/>
    <col min="11" max="11" width="12.6640625" bestFit="1" customWidth="1"/>
  </cols>
  <sheetData>
    <row r="2" spans="3:22" x14ac:dyDescent="0.2">
      <c r="C2" s="38" t="s">
        <v>0</v>
      </c>
      <c r="D2" s="26">
        <v>2022</v>
      </c>
      <c r="E2" s="2">
        <v>2005</v>
      </c>
      <c r="H2">
        <v>2022</v>
      </c>
      <c r="J2">
        <v>2005</v>
      </c>
      <c r="L2">
        <v>2022</v>
      </c>
      <c r="M2" t="s">
        <v>252</v>
      </c>
      <c r="N2">
        <v>2005</v>
      </c>
      <c r="Q2">
        <v>2022</v>
      </c>
      <c r="R2">
        <v>2005</v>
      </c>
    </row>
    <row r="3" spans="3:22" x14ac:dyDescent="0.2">
      <c r="C3" s="2" t="s">
        <v>2</v>
      </c>
      <c r="D3" s="3">
        <f>Calc!D3</f>
        <v>753600000000</v>
      </c>
      <c r="E3" s="3">
        <v>478800000000</v>
      </c>
      <c r="G3" t="s">
        <v>0</v>
      </c>
      <c r="H3" s="1">
        <f>D5</f>
        <v>2486880000000</v>
      </c>
      <c r="I3" t="s">
        <v>0</v>
      </c>
      <c r="J3" s="1">
        <f>Calc!G22</f>
        <v>1580040000000</v>
      </c>
      <c r="L3" s="25">
        <f>H3/1000000000</f>
        <v>2486.88</v>
      </c>
      <c r="M3" s="25"/>
      <c r="N3" s="25">
        <f t="shared" ref="N3:N9" si="0">J3/1000000000</f>
        <v>1580.04</v>
      </c>
      <c r="P3" s="67" t="s">
        <v>249</v>
      </c>
      <c r="Q3" s="1">
        <f>H3+H4</f>
        <v>3191911800000</v>
      </c>
      <c r="R3" s="1">
        <f>J3+J4</f>
        <v>2526684600000</v>
      </c>
    </row>
    <row r="4" spans="3:22" x14ac:dyDescent="0.2">
      <c r="C4" s="2" t="s">
        <v>4</v>
      </c>
      <c r="D4" s="3">
        <f>Calc!D4</f>
        <v>678240000000</v>
      </c>
      <c r="E4" s="3">
        <f>E3*Calc!A26</f>
        <v>406980000000</v>
      </c>
      <c r="G4" t="s">
        <v>237</v>
      </c>
      <c r="H4" s="1">
        <f>D13</f>
        <v>705031800000</v>
      </c>
      <c r="I4" t="s">
        <v>237</v>
      </c>
      <c r="J4" s="1">
        <f>Calc!G30</f>
        <v>946644600000</v>
      </c>
      <c r="L4" s="25">
        <f t="shared" ref="L4:L9" si="1">H4/1000000000</f>
        <v>705.03179999999998</v>
      </c>
      <c r="N4" s="25">
        <f t="shared" si="0"/>
        <v>946.64459999999997</v>
      </c>
      <c r="P4" s="68" t="s">
        <v>166</v>
      </c>
      <c r="Q4" s="25">
        <f>Q3/1000000000</f>
        <v>3191.9117999999999</v>
      </c>
      <c r="R4" s="25">
        <f>R3/1000000000</f>
        <v>2526.6846</v>
      </c>
    </row>
    <row r="5" spans="3:22" x14ac:dyDescent="0.2">
      <c r="C5" s="2" t="s">
        <v>5</v>
      </c>
      <c r="D5" s="36">
        <f>Calc!D5</f>
        <v>2486880000000</v>
      </c>
      <c r="E5" s="36">
        <f>E4*(44/12)</f>
        <v>1492260000000</v>
      </c>
      <c r="G5" t="s">
        <v>51</v>
      </c>
      <c r="H5" s="1">
        <f>D22</f>
        <v>737486610666.66663</v>
      </c>
      <c r="I5" t="s">
        <v>51</v>
      </c>
      <c r="J5" s="1">
        <f>E22</f>
        <v>510433579333.33331</v>
      </c>
      <c r="L5" s="25">
        <f t="shared" si="1"/>
        <v>737.48661066666659</v>
      </c>
      <c r="N5" s="25">
        <f t="shared" si="0"/>
        <v>510.43357933333334</v>
      </c>
      <c r="P5" s="67" t="s">
        <v>250</v>
      </c>
      <c r="Q5" s="1">
        <f>H5+H7+H8</f>
        <v>1106057370000</v>
      </c>
      <c r="R5" s="1">
        <f>J5+J7+J8</f>
        <v>595290722190.4762</v>
      </c>
    </row>
    <row r="6" spans="3:22" x14ac:dyDescent="0.2">
      <c r="C6" s="2" t="s">
        <v>27</v>
      </c>
      <c r="D6" s="3">
        <f>Calc!D6</f>
        <v>4.8307692307692309E-4</v>
      </c>
      <c r="E6" s="3">
        <f>Calc!G23</f>
        <v>3.0692307692307692E-4</v>
      </c>
      <c r="G6" t="s">
        <v>14</v>
      </c>
      <c r="H6" s="1">
        <f>D34</f>
        <v>339584850891.00006</v>
      </c>
      <c r="I6" t="s">
        <v>14</v>
      </c>
      <c r="J6" s="1">
        <f>E34</f>
        <v>281091766527</v>
      </c>
      <c r="L6" s="25">
        <f t="shared" si="1"/>
        <v>339.58485089100009</v>
      </c>
      <c r="N6" s="25">
        <f t="shared" si="0"/>
        <v>281.091766527</v>
      </c>
      <c r="P6" s="68" t="s">
        <v>166</v>
      </c>
      <c r="Q6" s="25">
        <f>Q5/1000000000</f>
        <v>1106.05737</v>
      </c>
      <c r="R6" s="25">
        <f>R5/1000000000</f>
        <v>595.29072219047623</v>
      </c>
    </row>
    <row r="7" spans="3:22" x14ac:dyDescent="0.2">
      <c r="C7" s="2" t="s">
        <v>55</v>
      </c>
      <c r="D7" s="18">
        <f>Calc!D7</f>
        <v>483.07692307692309</v>
      </c>
      <c r="E7" s="18">
        <f>E6*(10^6)</f>
        <v>306.92307692307691</v>
      </c>
      <c r="G7" t="s">
        <v>142</v>
      </c>
      <c r="H7" s="1">
        <f>D45</f>
        <v>190490784000</v>
      </c>
      <c r="I7" t="s">
        <v>142</v>
      </c>
      <c r="J7" s="1">
        <f>E45</f>
        <v>84857142857.142853</v>
      </c>
      <c r="L7" s="25">
        <f t="shared" si="1"/>
        <v>190.49078399999999</v>
      </c>
      <c r="N7" s="25">
        <f t="shared" si="0"/>
        <v>84.857142857142847</v>
      </c>
      <c r="P7" s="67" t="s">
        <v>251</v>
      </c>
      <c r="Q7" s="1">
        <f>H6+H9</f>
        <v>726909076591.86377</v>
      </c>
      <c r="R7" s="1">
        <f>J6+J9</f>
        <v>307470260899.36304</v>
      </c>
    </row>
    <row r="8" spans="3:22" x14ac:dyDescent="0.2">
      <c r="C8" s="2" t="s">
        <v>56</v>
      </c>
      <c r="D8" s="37">
        <f>Calc!D8</f>
        <v>322.27819938461539</v>
      </c>
      <c r="E8" s="37">
        <f>E7*Calc!A35</f>
        <v>204.75955661538458</v>
      </c>
      <c r="G8" t="s">
        <v>143</v>
      </c>
      <c r="H8" s="1">
        <f>D55</f>
        <v>178079975333.33331</v>
      </c>
      <c r="I8" t="s">
        <v>143</v>
      </c>
      <c r="J8" s="1">
        <v>0</v>
      </c>
      <c r="L8" s="25">
        <f t="shared" si="1"/>
        <v>178.07997533333332</v>
      </c>
      <c r="N8" s="25">
        <f t="shared" si="0"/>
        <v>0</v>
      </c>
      <c r="O8" s="25"/>
      <c r="P8" s="68" t="s">
        <v>166</v>
      </c>
      <c r="Q8" s="25">
        <f>Q7/1000000000</f>
        <v>726.90907659186382</v>
      </c>
      <c r="R8" s="25">
        <f>R7/1000000000</f>
        <v>307.47026089936304</v>
      </c>
    </row>
    <row r="9" spans="3:22" x14ac:dyDescent="0.2">
      <c r="G9" t="s">
        <v>165</v>
      </c>
      <c r="H9" s="1">
        <f>D69</f>
        <v>387324225700.86365</v>
      </c>
      <c r="I9" t="s">
        <v>165</v>
      </c>
      <c r="J9" s="1">
        <f>E69</f>
        <v>26378494372.363018</v>
      </c>
      <c r="K9" s="67"/>
      <c r="L9" s="25">
        <f t="shared" si="1"/>
        <v>387.32422570086362</v>
      </c>
      <c r="N9" s="25">
        <f t="shared" si="0"/>
        <v>26.378494372363019</v>
      </c>
    </row>
    <row r="10" spans="3:22" x14ac:dyDescent="0.2">
      <c r="C10" s="38" t="s">
        <v>236</v>
      </c>
      <c r="D10" s="26">
        <v>2022</v>
      </c>
      <c r="E10" s="2">
        <v>2005</v>
      </c>
      <c r="I10" s="25">
        <f>H11/1000000000</f>
        <v>5024.8782465918621</v>
      </c>
      <c r="K10" s="25">
        <f>J11/1000000000</f>
        <v>3429.4455830898391</v>
      </c>
      <c r="L10" t="s">
        <v>166</v>
      </c>
    </row>
    <row r="11" spans="3:22" x14ac:dyDescent="0.2">
      <c r="C11" s="2" t="s">
        <v>2</v>
      </c>
      <c r="D11" s="3">
        <f>Calc!D11</f>
        <v>320469000000</v>
      </c>
      <c r="E11" s="3">
        <v>430300000000</v>
      </c>
      <c r="H11" s="1">
        <f>SUM(H3:H9)</f>
        <v>5024878246591.8623</v>
      </c>
      <c r="I11" s="25">
        <f>(SUM(H5:H9)/1000000000)</f>
        <v>1832.9664465918638</v>
      </c>
      <c r="J11" s="1">
        <f>SUM(J3:J9)</f>
        <v>3429445583089.8394</v>
      </c>
      <c r="K11" s="25">
        <f>(SUM(J5:J9)/1000000000)</f>
        <v>902.7609830898391</v>
      </c>
      <c r="L11" t="s">
        <v>167</v>
      </c>
    </row>
    <row r="12" spans="3:22" x14ac:dyDescent="0.2">
      <c r="C12" s="2" t="s">
        <v>4</v>
      </c>
      <c r="D12" s="3">
        <f>Calc!D12</f>
        <v>192281400000</v>
      </c>
      <c r="E12" s="3">
        <f>E11*0.6</f>
        <v>258180000000</v>
      </c>
    </row>
    <row r="13" spans="3:22" x14ac:dyDescent="0.2">
      <c r="C13" s="2" t="s">
        <v>5</v>
      </c>
      <c r="D13" s="36">
        <f>Calc!D13</f>
        <v>705031800000</v>
      </c>
      <c r="E13" s="36">
        <f>+E12*(3.66666666666667)</f>
        <v>946660000000.00085</v>
      </c>
      <c r="K13" t="s">
        <v>238</v>
      </c>
    </row>
    <row r="14" spans="3:22" x14ac:dyDescent="0.2">
      <c r="C14" s="2" t="s">
        <v>27</v>
      </c>
      <c r="D14" s="3">
        <f>Calc!D14</f>
        <v>1.3695256410256411E-4</v>
      </c>
      <c r="E14" s="42">
        <f>E13/Calc!A22</f>
        <v>1.8388888888888906E-4</v>
      </c>
    </row>
    <row r="15" spans="3:22" x14ac:dyDescent="0.2">
      <c r="C15" s="2" t="s">
        <v>55</v>
      </c>
      <c r="D15" s="18">
        <f>Calc!D15</f>
        <v>136.95256410256411</v>
      </c>
      <c r="E15" s="18">
        <f>Calc!G32</f>
        <v>183.88589743589745</v>
      </c>
      <c r="G15" s="55" t="s">
        <v>217</v>
      </c>
      <c r="H15" s="55"/>
      <c r="I15" s="63">
        <v>2022</v>
      </c>
      <c r="J15" s="55" t="s">
        <v>218</v>
      </c>
      <c r="K15" s="55" t="s">
        <v>166</v>
      </c>
      <c r="L15" s="55" t="s">
        <v>239</v>
      </c>
      <c r="M15" s="59" t="s">
        <v>217</v>
      </c>
      <c r="N15" s="59"/>
      <c r="O15" s="64">
        <v>2005</v>
      </c>
      <c r="P15" s="59"/>
      <c r="Q15" s="59" t="s">
        <v>166</v>
      </c>
      <c r="R15" s="59" t="s">
        <v>239</v>
      </c>
      <c r="V15">
        <v>2375</v>
      </c>
    </row>
    <row r="16" spans="3:22" x14ac:dyDescent="0.2">
      <c r="C16" s="2" t="s">
        <v>56</v>
      </c>
      <c r="D16" s="37">
        <f>Calc!D16</f>
        <v>91.366040586153844</v>
      </c>
      <c r="E16" s="37">
        <f>E15*Calc!A35</f>
        <v>122.67697562615385</v>
      </c>
      <c r="G16" s="56">
        <v>4.4999999999999998E-2</v>
      </c>
      <c r="H16" s="55" t="s">
        <v>0</v>
      </c>
      <c r="I16" s="57">
        <f>H3</f>
        <v>2486880000000</v>
      </c>
      <c r="J16" s="57">
        <f>I16*(1-$G16)</f>
        <v>2374970400000</v>
      </c>
      <c r="K16" s="58">
        <f>J16/1000000000</f>
        <v>2374.9704000000002</v>
      </c>
      <c r="L16" s="58">
        <f>D8*(1-$G16)</f>
        <v>307.77568041230768</v>
      </c>
      <c r="M16" s="60">
        <v>4.4999999999999998E-2</v>
      </c>
      <c r="N16" s="59" t="s">
        <v>0</v>
      </c>
      <c r="O16" s="61">
        <f t="shared" ref="O16:O22" si="2">J3</f>
        <v>1580040000000</v>
      </c>
      <c r="P16" s="61">
        <f>O16*(1-M16)</f>
        <v>1508938200000</v>
      </c>
      <c r="Q16" s="62">
        <f>P16/1000000000</f>
        <v>1508.9382000000001</v>
      </c>
      <c r="R16" s="62">
        <f>E8*(1-$G16)</f>
        <v>195.54537656769227</v>
      </c>
      <c r="V16">
        <v>673</v>
      </c>
    </row>
    <row r="17" spans="3:22" x14ac:dyDescent="0.2">
      <c r="G17" s="56">
        <v>4.4999999999999998E-2</v>
      </c>
      <c r="H17" s="55" t="s">
        <v>237</v>
      </c>
      <c r="I17" s="57">
        <f t="shared" ref="I17:I22" si="3">H4</f>
        <v>705031800000</v>
      </c>
      <c r="J17" s="55">
        <f t="shared" ref="J17:J22" si="4">I17*(1-G17)</f>
        <v>673305369000</v>
      </c>
      <c r="K17" s="58">
        <f t="shared" ref="K17:K22" si="5">J17/1000000000</f>
        <v>673.30536900000004</v>
      </c>
      <c r="L17" s="58">
        <f>D16*(1-$G17)</f>
        <v>87.254568759776916</v>
      </c>
      <c r="M17" s="60">
        <v>4.4999999999999998E-2</v>
      </c>
      <c r="N17" s="59" t="s">
        <v>237</v>
      </c>
      <c r="O17" s="61">
        <f t="shared" si="2"/>
        <v>946644600000</v>
      </c>
      <c r="P17" s="61">
        <f t="shared" ref="P17:P22" si="6">O17*(1-M17)</f>
        <v>904045593000</v>
      </c>
      <c r="Q17" s="62">
        <f t="shared" ref="Q17:Q22" si="7">P17/1000000000</f>
        <v>904.04559300000005</v>
      </c>
      <c r="R17" s="62">
        <f>E16*(1-$G17)</f>
        <v>117.15651172297692</v>
      </c>
      <c r="V17">
        <v>686</v>
      </c>
    </row>
    <row r="18" spans="3:22" x14ac:dyDescent="0.2">
      <c r="C18" s="39" t="s">
        <v>51</v>
      </c>
      <c r="D18" s="2">
        <v>2022</v>
      </c>
      <c r="E18" s="2">
        <v>2005</v>
      </c>
      <c r="G18" s="56">
        <v>7.0000000000000007E-2</v>
      </c>
      <c r="H18" s="55" t="s">
        <v>51</v>
      </c>
      <c r="I18" s="57">
        <f t="shared" si="3"/>
        <v>737486610666.66663</v>
      </c>
      <c r="J18" s="55">
        <f t="shared" si="4"/>
        <v>685862547919.99988</v>
      </c>
      <c r="K18" s="58">
        <f t="shared" si="5"/>
        <v>685.86254791999988</v>
      </c>
      <c r="L18" s="58">
        <f>D25*(1-$G18)</f>
        <v>88.881870845799568</v>
      </c>
      <c r="M18" s="60">
        <v>7.0000000000000007E-2</v>
      </c>
      <c r="N18" s="59" t="s">
        <v>51</v>
      </c>
      <c r="O18" s="61">
        <f t="shared" si="2"/>
        <v>510433579333.33331</v>
      </c>
      <c r="P18" s="61">
        <f t="shared" si="6"/>
        <v>474703228779.99994</v>
      </c>
      <c r="Q18" s="62">
        <f t="shared" si="7"/>
        <v>474.70322877999996</v>
      </c>
      <c r="R18" s="62">
        <f>E25*(1-$G18)</f>
        <v>61.517444272856551</v>
      </c>
      <c r="V18">
        <v>327</v>
      </c>
    </row>
    <row r="19" spans="3:22" x14ac:dyDescent="0.2">
      <c r="C19" s="2" t="s">
        <v>11</v>
      </c>
      <c r="D19" s="3">
        <f>Calc!G3</f>
        <v>1734800000000</v>
      </c>
      <c r="E19" s="3">
        <v>1200700000000</v>
      </c>
      <c r="G19" s="56">
        <v>3.7499999999999999E-2</v>
      </c>
      <c r="H19" s="55" t="s">
        <v>14</v>
      </c>
      <c r="I19" s="57">
        <f t="shared" si="3"/>
        <v>339584850891.00006</v>
      </c>
      <c r="J19" s="55">
        <f t="shared" si="4"/>
        <v>326850418982.58759</v>
      </c>
      <c r="K19" s="58">
        <f t="shared" si="5"/>
        <v>326.8504189825876</v>
      </c>
      <c r="L19" s="58">
        <f>D37*(1-$G19)</f>
        <v>42.356995310515757</v>
      </c>
      <c r="M19" s="60">
        <v>3.7499999999999999E-2</v>
      </c>
      <c r="N19" s="59" t="s">
        <v>14</v>
      </c>
      <c r="O19" s="61">
        <f t="shared" si="2"/>
        <v>281091766527</v>
      </c>
      <c r="P19" s="61">
        <f t="shared" si="6"/>
        <v>270550825282.23752</v>
      </c>
      <c r="Q19" s="62">
        <f t="shared" si="7"/>
        <v>270.5508252822375</v>
      </c>
      <c r="R19" s="62">
        <f>E37*(1-$G19)</f>
        <v>35.061053534541742</v>
      </c>
      <c r="V19">
        <v>177</v>
      </c>
    </row>
    <row r="20" spans="3:22" x14ac:dyDescent="0.2">
      <c r="C20" s="2" t="s">
        <v>13</v>
      </c>
      <c r="D20" s="3">
        <f>Calc!G4</f>
        <v>236626720000</v>
      </c>
      <c r="E20" s="3">
        <v>163775480000</v>
      </c>
      <c r="G20" s="56">
        <v>7.0000000000000007E-2</v>
      </c>
      <c r="H20" s="55" t="s">
        <v>142</v>
      </c>
      <c r="I20" s="57">
        <f t="shared" si="3"/>
        <v>190490784000</v>
      </c>
      <c r="J20" s="55">
        <f t="shared" si="4"/>
        <v>177156429120</v>
      </c>
      <c r="K20" s="58">
        <f t="shared" si="5"/>
        <v>177.15642912000001</v>
      </c>
      <c r="L20" s="58">
        <f>D48*(1-$G20)</f>
        <v>21.682503886293738</v>
      </c>
      <c r="M20" s="60">
        <v>7.0000000000000007E-2</v>
      </c>
      <c r="N20" s="59" t="s">
        <v>142</v>
      </c>
      <c r="O20" s="61">
        <f t="shared" si="2"/>
        <v>84857142857.142853</v>
      </c>
      <c r="P20" s="61">
        <f t="shared" si="6"/>
        <v>78917142857.142853</v>
      </c>
      <c r="Q20" s="62">
        <f t="shared" si="7"/>
        <v>78.917142857142849</v>
      </c>
      <c r="R20" s="62">
        <f>E48*(1-$G20)</f>
        <v>9.8155650319829437</v>
      </c>
      <c r="V20">
        <v>166</v>
      </c>
    </row>
    <row r="21" spans="3:22" x14ac:dyDescent="0.2">
      <c r="C21" s="2" t="s">
        <v>4</v>
      </c>
      <c r="D21" s="3">
        <f>Calc!G5</f>
        <v>201132712000</v>
      </c>
      <c r="E21" s="3">
        <v>139209158000</v>
      </c>
      <c r="G21" s="56">
        <v>7.0000000000000007E-2</v>
      </c>
      <c r="H21" s="55" t="s">
        <v>143</v>
      </c>
      <c r="I21" s="57">
        <f t="shared" si="3"/>
        <v>178079975333.33331</v>
      </c>
      <c r="J21" s="55">
        <f t="shared" si="4"/>
        <v>165614377059.99997</v>
      </c>
      <c r="K21" s="58">
        <f t="shared" si="5"/>
        <v>165.61437705999998</v>
      </c>
      <c r="L21" s="58">
        <f>D58*(1-$G21)</f>
        <v>21.462194891229789</v>
      </c>
      <c r="M21" s="60">
        <v>7.0000000000000007E-2</v>
      </c>
      <c r="N21" s="59" t="s">
        <v>143</v>
      </c>
      <c r="O21" s="61">
        <f t="shared" si="2"/>
        <v>0</v>
      </c>
      <c r="P21" s="61">
        <f t="shared" si="6"/>
        <v>0</v>
      </c>
      <c r="Q21" s="62">
        <f t="shared" si="7"/>
        <v>0</v>
      </c>
      <c r="R21" s="62">
        <v>0</v>
      </c>
      <c r="V21">
        <v>373</v>
      </c>
    </row>
    <row r="22" spans="3:22" x14ac:dyDescent="0.2">
      <c r="C22" s="2" t="s">
        <v>5</v>
      </c>
      <c r="D22" s="36">
        <f>Calc!G6</f>
        <v>737486610666.66663</v>
      </c>
      <c r="E22" s="36">
        <v>510433579333.33331</v>
      </c>
      <c r="G22" s="56">
        <v>3.7499999999999999E-2</v>
      </c>
      <c r="H22" s="55" t="s">
        <v>165</v>
      </c>
      <c r="I22" s="57">
        <f t="shared" si="3"/>
        <v>387324225700.86365</v>
      </c>
      <c r="J22" s="55">
        <f t="shared" si="4"/>
        <v>372799567237.0813</v>
      </c>
      <c r="K22" s="58">
        <f t="shared" si="5"/>
        <v>372.79956723708131</v>
      </c>
      <c r="L22" s="58">
        <f>D72*(1-$G22)</f>
        <v>48.311608626282897</v>
      </c>
      <c r="M22" s="60">
        <v>3.7499999999999999E-2</v>
      </c>
      <c r="N22" s="59" t="s">
        <v>165</v>
      </c>
      <c r="O22" s="61">
        <f t="shared" si="2"/>
        <v>26378494372.363018</v>
      </c>
      <c r="P22" s="61">
        <f t="shared" si="6"/>
        <v>25389300833.399406</v>
      </c>
      <c r="Q22" s="62">
        <f t="shared" si="7"/>
        <v>25.389300833399407</v>
      </c>
      <c r="R22" s="62">
        <f>E72*(1-$G22)</f>
        <v>3.29023441268669</v>
      </c>
      <c r="V22">
        <f>SUM(V15:V21)</f>
        <v>4777</v>
      </c>
    </row>
    <row r="23" spans="3:22" x14ac:dyDescent="0.2">
      <c r="C23" s="2" t="s">
        <v>27</v>
      </c>
      <c r="D23" s="3">
        <f>Calc!G7</f>
        <v>1.4325691737891738E-4</v>
      </c>
      <c r="E23" s="3">
        <v>9.9151821937321929E-5</v>
      </c>
      <c r="G23" s="55"/>
      <c r="H23" s="55"/>
      <c r="I23" s="55"/>
      <c r="J23" s="55"/>
      <c r="K23" s="58">
        <f>SUM(K16:K22)</f>
        <v>4776.5591093196699</v>
      </c>
      <c r="L23" s="58">
        <f>SUM(L16:L22)</f>
        <v>617.72542273220643</v>
      </c>
      <c r="M23" s="59"/>
      <c r="N23" s="59"/>
      <c r="O23" s="59"/>
      <c r="P23" s="59"/>
      <c r="Q23" s="62">
        <f>SUM(Q16:Q22)</f>
        <v>3262.5442907527799</v>
      </c>
      <c r="R23" s="62">
        <f>SUM(R16:R22)</f>
        <v>422.38618554273717</v>
      </c>
    </row>
    <row r="24" spans="3:22" x14ac:dyDescent="0.2">
      <c r="C24" s="2" t="s">
        <v>9</v>
      </c>
      <c r="D24" s="18">
        <f>Calc!G8</f>
        <v>143.25691737891736</v>
      </c>
      <c r="E24" s="18">
        <v>99.151821937321927</v>
      </c>
    </row>
    <row r="25" spans="3:22" x14ac:dyDescent="0.2">
      <c r="C25" s="2" t="s">
        <v>56</v>
      </c>
      <c r="D25" s="37">
        <f>Calc!G9</f>
        <v>95.571904135268355</v>
      </c>
      <c r="E25" s="37">
        <v>66.147789540705972</v>
      </c>
    </row>
    <row r="28" spans="3:22" x14ac:dyDescent="0.2">
      <c r="C28" s="38" t="s">
        <v>14</v>
      </c>
      <c r="D28" s="2">
        <v>2022</v>
      </c>
      <c r="E28" s="2">
        <v>2005</v>
      </c>
    </row>
    <row r="29" spans="3:22" x14ac:dyDescent="0.2">
      <c r="C29" s="2" t="s">
        <v>21</v>
      </c>
      <c r="D29" s="3">
        <f>Calc!M3</f>
        <v>188100</v>
      </c>
      <c r="E29" s="3">
        <v>1557426563507</v>
      </c>
    </row>
    <row r="30" spans="3:22" x14ac:dyDescent="0.2">
      <c r="C30" s="2" t="s">
        <v>22</v>
      </c>
      <c r="D30" s="3">
        <f>Calc!M4</f>
        <v>6418160.1000000006</v>
      </c>
      <c r="E30" s="3">
        <v>5312639.7</v>
      </c>
    </row>
    <row r="31" spans="3:22" x14ac:dyDescent="0.2">
      <c r="C31" s="2" t="s">
        <v>23</v>
      </c>
      <c r="D31" s="3">
        <f>Calc!M5</f>
        <v>6418160100000.001</v>
      </c>
      <c r="E31" s="3">
        <v>5312639700000</v>
      </c>
    </row>
    <row r="32" spans="3:22" x14ac:dyDescent="0.2">
      <c r="C32" s="2" t="s">
        <v>25</v>
      </c>
      <c r="D32" s="3">
        <f>Calc!M6</f>
        <v>92614050243000.016</v>
      </c>
      <c r="E32" s="3">
        <v>76661390871000</v>
      </c>
    </row>
    <row r="33" spans="3:5" x14ac:dyDescent="0.2">
      <c r="C33" s="2" t="s">
        <v>26</v>
      </c>
      <c r="D33" s="3">
        <f>Calc!M7</f>
        <v>92614050243.000015</v>
      </c>
      <c r="E33" s="3">
        <v>76661390871</v>
      </c>
    </row>
    <row r="34" spans="3:5" x14ac:dyDescent="0.2">
      <c r="C34" s="2" t="s">
        <v>5</v>
      </c>
      <c r="D34" s="40">
        <f>Calc!M8</f>
        <v>339584850891.00006</v>
      </c>
      <c r="E34" s="40">
        <v>281091766527</v>
      </c>
    </row>
    <row r="35" spans="3:5" x14ac:dyDescent="0.2">
      <c r="C35" s="2" t="s">
        <v>8</v>
      </c>
      <c r="D35" s="3">
        <f>Calc!M9</f>
        <v>6.596442325000001E-5</v>
      </c>
      <c r="E35" s="3">
        <v>5.4602130249999998E-5</v>
      </c>
    </row>
    <row r="36" spans="3:5" x14ac:dyDescent="0.2">
      <c r="C36" s="2" t="s">
        <v>9</v>
      </c>
      <c r="D36" s="18">
        <f>Calc!M10</f>
        <v>65.96442325000001</v>
      </c>
      <c r="E36" s="18">
        <v>54.602130249999995</v>
      </c>
    </row>
    <row r="37" spans="3:5" x14ac:dyDescent="0.2">
      <c r="C37" s="2" t="s">
        <v>56</v>
      </c>
      <c r="D37" s="37">
        <f>Calc!M11</f>
        <v>44.007267855081302</v>
      </c>
      <c r="E37" s="37">
        <v>36.427068607316095</v>
      </c>
    </row>
    <row r="40" spans="3:5" x14ac:dyDescent="0.2">
      <c r="C40" s="38" t="s">
        <v>142</v>
      </c>
      <c r="D40" s="2">
        <v>2022</v>
      </c>
      <c r="E40" s="2">
        <v>2005</v>
      </c>
    </row>
    <row r="41" spans="3:5" x14ac:dyDescent="0.2">
      <c r="C41" s="2" t="s">
        <v>81</v>
      </c>
      <c r="D41" s="2">
        <v>423200000000</v>
      </c>
      <c r="E41" s="42">
        <v>180000000000</v>
      </c>
    </row>
    <row r="42" spans="3:5" x14ac:dyDescent="0.2">
      <c r="C42" s="2" t="s">
        <v>82</v>
      </c>
      <c r="D42" s="42">
        <v>57724480000</v>
      </c>
      <c r="E42" s="42">
        <f>E41/7</f>
        <v>25714285714.285713</v>
      </c>
    </row>
    <row r="43" spans="3:5" x14ac:dyDescent="0.2">
      <c r="C43" s="2" t="s">
        <v>83</v>
      </c>
      <c r="D43" s="2">
        <v>0.9</v>
      </c>
      <c r="E43" s="2">
        <v>0.9</v>
      </c>
    </row>
    <row r="44" spans="3:5" x14ac:dyDescent="0.2">
      <c r="C44" s="2" t="s">
        <v>26</v>
      </c>
      <c r="D44" s="42">
        <f>D42*D43</f>
        <v>51952032000</v>
      </c>
      <c r="E44" s="42">
        <f>E42*E43</f>
        <v>23142857142.857143</v>
      </c>
    </row>
    <row r="45" spans="3:5" x14ac:dyDescent="0.2">
      <c r="C45" s="2" t="s">
        <v>5</v>
      </c>
      <c r="D45" s="40">
        <f>(44/12)*D44</f>
        <v>190490784000</v>
      </c>
      <c r="E45" s="40">
        <f>(44/12)*E44</f>
        <v>84857142857.142853</v>
      </c>
    </row>
    <row r="46" spans="3:5" x14ac:dyDescent="0.2">
      <c r="C46" s="2" t="s">
        <v>8</v>
      </c>
      <c r="D46" s="2">
        <f>Calc!J7</f>
        <v>3.494715669515669E-5</v>
      </c>
      <c r="E46" s="42">
        <f>D46*(E45/D45)</f>
        <v>1.5567765567765562E-5</v>
      </c>
    </row>
    <row r="47" spans="3:5" x14ac:dyDescent="0.2">
      <c r="C47" s="2" t="s">
        <v>9</v>
      </c>
      <c r="D47" s="18">
        <f>Calc!J8</f>
        <v>34.947156695156693</v>
      </c>
      <c r="E47" s="43">
        <f>E46*(1000000)</f>
        <v>15.567765567765562</v>
      </c>
    </row>
    <row r="48" spans="3:5" x14ac:dyDescent="0.2">
      <c r="C48" s="2" t="s">
        <v>56</v>
      </c>
      <c r="D48" s="37">
        <f>Calc!J9</f>
        <v>23.314520307842731</v>
      </c>
      <c r="E48" s="37">
        <v>10.554371002132198</v>
      </c>
    </row>
    <row r="51" spans="3:8" x14ac:dyDescent="0.2">
      <c r="C51" s="38" t="s">
        <v>143</v>
      </c>
      <c r="D51" s="2">
        <v>2022</v>
      </c>
      <c r="E51" s="2">
        <v>2005</v>
      </c>
    </row>
    <row r="52" spans="3:8" x14ac:dyDescent="0.2">
      <c r="C52" s="2" t="s">
        <v>11</v>
      </c>
      <c r="D52" s="2">
        <v>418900000000</v>
      </c>
      <c r="E52" s="2"/>
    </row>
    <row r="53" spans="3:8" x14ac:dyDescent="0.2">
      <c r="C53" s="2" t="s">
        <v>13</v>
      </c>
      <c r="D53" s="44">
        <v>57137960000</v>
      </c>
      <c r="E53" s="2"/>
    </row>
    <row r="54" spans="3:8" x14ac:dyDescent="0.2">
      <c r="C54" s="2" t="s">
        <v>4</v>
      </c>
      <c r="D54" s="42">
        <v>48567266000</v>
      </c>
      <c r="E54" s="2"/>
      <c r="H54" s="1">
        <f>D29*1000000000</f>
        <v>188100000000000</v>
      </c>
    </row>
    <row r="55" spans="3:8" x14ac:dyDescent="0.2">
      <c r="C55" s="2" t="s">
        <v>5</v>
      </c>
      <c r="D55" s="40">
        <f>(44/12)*D54</f>
        <v>178079975333.33331</v>
      </c>
      <c r="E55" s="2"/>
      <c r="H55">
        <f>H54/1000000000000</f>
        <v>188.1</v>
      </c>
    </row>
    <row r="56" spans="3:8" x14ac:dyDescent="0.2">
      <c r="C56" s="2" t="s">
        <v>27</v>
      </c>
      <c r="D56" s="45">
        <v>3.4592069800569794E-5</v>
      </c>
      <c r="E56" s="2"/>
      <c r="H56">
        <f>D63/1000000000000</f>
        <v>214.54339515786495</v>
      </c>
    </row>
    <row r="57" spans="3:8" x14ac:dyDescent="0.2">
      <c r="C57" s="2" t="s">
        <v>9</v>
      </c>
      <c r="D57" s="18">
        <v>34.592069800569796</v>
      </c>
      <c r="E57" s="2"/>
    </row>
    <row r="58" spans="3:8" x14ac:dyDescent="0.2">
      <c r="C58" s="2" t="s">
        <v>56</v>
      </c>
      <c r="D58" s="37">
        <v>23.077628915300849</v>
      </c>
      <c r="E58" s="2"/>
    </row>
    <row r="61" spans="3:8" x14ac:dyDescent="0.2">
      <c r="C61" s="38" t="s">
        <v>31</v>
      </c>
      <c r="D61" s="2">
        <v>2022</v>
      </c>
      <c r="E61" s="2">
        <v>2008</v>
      </c>
    </row>
    <row r="62" spans="3:8" x14ac:dyDescent="0.2">
      <c r="C62" s="2" t="s">
        <v>29</v>
      </c>
      <c r="D62" s="2">
        <v>7576600000000000</v>
      </c>
      <c r="E62" s="2">
        <v>516000000000000</v>
      </c>
    </row>
    <row r="63" spans="3:8" x14ac:dyDescent="0.2">
      <c r="C63" s="2" t="s">
        <v>30</v>
      </c>
      <c r="D63" s="2">
        <v>214543395157864.94</v>
      </c>
      <c r="E63" s="2">
        <f t="shared" ref="E63:E72" si="8">(E$62/D$62)*D63</f>
        <v>14611354948322.242</v>
      </c>
    </row>
    <row r="64" spans="3:8" x14ac:dyDescent="0.2">
      <c r="C64" s="2" t="s">
        <v>21</v>
      </c>
      <c r="D64" s="2">
        <v>214543.39515786493</v>
      </c>
      <c r="E64" s="2">
        <f t="shared" si="8"/>
        <v>14611.354948322241</v>
      </c>
    </row>
    <row r="65" spans="3:5" x14ac:dyDescent="0.2">
      <c r="C65" s="2" t="s">
        <v>22</v>
      </c>
      <c r="D65" s="2">
        <v>7320435.1861815099</v>
      </c>
      <c r="E65" s="2">
        <f t="shared" si="8"/>
        <v>498554.04219170328</v>
      </c>
    </row>
    <row r="66" spans="3:5" x14ac:dyDescent="0.2">
      <c r="C66" s="2" t="s">
        <v>23</v>
      </c>
      <c r="D66" s="2">
        <v>7320435186181.5098</v>
      </c>
      <c r="E66" s="2">
        <f t="shared" si="8"/>
        <v>498554042191.70325</v>
      </c>
    </row>
    <row r="67" spans="3:5" x14ac:dyDescent="0.2">
      <c r="C67" s="2" t="s">
        <v>25</v>
      </c>
      <c r="D67" s="2">
        <v>105633879736599.19</v>
      </c>
      <c r="E67" s="2">
        <f t="shared" si="8"/>
        <v>7194134828826.2783</v>
      </c>
    </row>
    <row r="68" spans="3:5" x14ac:dyDescent="0.2">
      <c r="C68" s="2" t="s">
        <v>26</v>
      </c>
      <c r="D68" s="2">
        <v>105633879736.59918</v>
      </c>
      <c r="E68" s="42">
        <f t="shared" si="8"/>
        <v>7194134828.8262777</v>
      </c>
    </row>
    <row r="69" spans="3:5" x14ac:dyDescent="0.2">
      <c r="C69" s="2" t="s">
        <v>5</v>
      </c>
      <c r="D69" s="40">
        <f>(44/12)*D68</f>
        <v>387324225700.86365</v>
      </c>
      <c r="E69" s="40">
        <f t="shared" si="8"/>
        <v>26378494372.363018</v>
      </c>
    </row>
    <row r="70" spans="3:5" x14ac:dyDescent="0.2">
      <c r="C70" s="2" t="s">
        <v>8</v>
      </c>
      <c r="D70" s="2">
        <v>7.5237806080198844E-5</v>
      </c>
      <c r="E70" s="3">
        <f t="shared" si="8"/>
        <v>5.1240276558591722E-6</v>
      </c>
    </row>
    <row r="71" spans="3:5" x14ac:dyDescent="0.2">
      <c r="C71" s="2" t="s">
        <v>9</v>
      </c>
      <c r="D71" s="18">
        <v>75.237806080198851</v>
      </c>
      <c r="E71" s="18">
        <f t="shared" si="8"/>
        <v>5.1240276558591722</v>
      </c>
    </row>
    <row r="72" spans="3:5" x14ac:dyDescent="0.2">
      <c r="C72" s="2" t="s">
        <v>56</v>
      </c>
      <c r="D72" s="37">
        <v>50.193879092241971</v>
      </c>
      <c r="E72" s="46">
        <f t="shared" si="8"/>
        <v>3.4184253638303272</v>
      </c>
    </row>
    <row r="75" spans="3:5" x14ac:dyDescent="0.2">
      <c r="C75" t="s">
        <v>144</v>
      </c>
      <c r="D75" s="1">
        <f>D5+D16+D22+D34+D45+D55+D69</f>
        <v>4319846446683.23</v>
      </c>
      <c r="E75" s="1">
        <f>E5+E16+E22+E34+E45+E55+E69</f>
        <v>2395020983212.5161</v>
      </c>
    </row>
    <row r="77" spans="3:5" x14ac:dyDescent="0.2">
      <c r="C77" t="s">
        <v>253</v>
      </c>
      <c r="D77" s="25">
        <f>D8+D16+D25+D37+D48+D58+D72</f>
        <v>649.80944027650446</v>
      </c>
      <c r="E77" s="25">
        <f>E8+E16+E25+E37+E48+E58+E72</f>
        <v>443.98418675552301</v>
      </c>
    </row>
  </sheetData>
  <pageMargins left="0.7" right="0.7" top="0.75" bottom="0.75" header="0.3" footer="0.3"/>
  <pageSetup paperSize="9" orientation="portrait" horizontalDpi="0" verticalDpi="0"/>
  <ignoredErrors>
    <ignoredError sqref="I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775E-7901-9246-B548-5CCB22297438}">
  <dimension ref="A1:T142"/>
  <sheetViews>
    <sheetView topLeftCell="A48" workbookViewId="0">
      <selection activeCell="E67" sqref="E67"/>
    </sheetView>
  </sheetViews>
  <sheetFormatPr baseColWidth="10" defaultRowHeight="15" x14ac:dyDescent="0.2"/>
  <cols>
    <col min="2" max="2" width="19" customWidth="1"/>
    <col min="3" max="3" width="16.33203125" customWidth="1"/>
  </cols>
  <sheetData>
    <row r="1" spans="2:20" x14ac:dyDescent="0.2">
      <c r="B1" t="s">
        <v>60</v>
      </c>
      <c r="K1" s="21" t="s">
        <v>62</v>
      </c>
      <c r="L1" s="21"/>
      <c r="M1" s="21"/>
      <c r="N1" s="21"/>
      <c r="O1" s="21"/>
      <c r="P1" s="21"/>
      <c r="Q1" s="21"/>
      <c r="R1" s="21"/>
      <c r="S1" s="21"/>
      <c r="T1" s="21"/>
    </row>
    <row r="2" spans="2:20" x14ac:dyDescent="0.2">
      <c r="B2" t="s">
        <v>61</v>
      </c>
      <c r="D2" s="20">
        <v>1200700000000</v>
      </c>
      <c r="E2" t="s">
        <v>62</v>
      </c>
      <c r="G2" t="s">
        <v>133</v>
      </c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x14ac:dyDescent="0.2">
      <c r="B3" t="s">
        <v>63</v>
      </c>
      <c r="D3" s="20">
        <f>D2/7.46</f>
        <v>160951742627.34586</v>
      </c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G4" t="s">
        <v>64</v>
      </c>
      <c r="I4" s="20">
        <v>200000000000</v>
      </c>
      <c r="J4" t="s">
        <v>65</v>
      </c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x14ac:dyDescent="0.2">
      <c r="B5" t="s">
        <v>66</v>
      </c>
      <c r="D5">
        <v>0.84899999999999998</v>
      </c>
      <c r="E5" t="s">
        <v>67</v>
      </c>
      <c r="G5" t="s">
        <v>68</v>
      </c>
      <c r="I5">
        <v>917000000000</v>
      </c>
      <c r="J5" t="s">
        <v>69</v>
      </c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2:20" x14ac:dyDescent="0.2"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0" x14ac:dyDescent="0.2"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 x14ac:dyDescent="0.2">
      <c r="B8" t="s">
        <v>70</v>
      </c>
      <c r="D8" s="20">
        <f>D3*D5</f>
        <v>136648029490.61662</v>
      </c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2:20" x14ac:dyDescent="0.2">
      <c r="B9" t="s">
        <v>71</v>
      </c>
      <c r="D9" s="20">
        <f>(44/12)*D8</f>
        <v>501042774798.92761</v>
      </c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2:20" x14ac:dyDescent="0.2">
      <c r="D10" s="20"/>
      <c r="H10" s="21" t="s">
        <v>72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2:20" x14ac:dyDescent="0.2">
      <c r="B11" t="s">
        <v>73</v>
      </c>
      <c r="D11" s="20">
        <v>5360000000000000</v>
      </c>
      <c r="E11" t="s">
        <v>74</v>
      </c>
      <c r="H11" s="20">
        <f>D9+D22+D32+D43</f>
        <v>3485072030776.6978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2:20" x14ac:dyDescent="0.2">
      <c r="B12" t="s">
        <v>75</v>
      </c>
      <c r="D12" s="20">
        <f>D9/D24</f>
        <v>9.3478129626665604E-5</v>
      </c>
      <c r="E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2:20" x14ac:dyDescent="0.2">
      <c r="C13" t="s">
        <v>76</v>
      </c>
      <c r="D13" s="22">
        <f>D12*1000000</f>
        <v>93.478129626665606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2:20" x14ac:dyDescent="0.2">
      <c r="B14" t="s">
        <v>77</v>
      </c>
      <c r="D14" s="23">
        <f>0.38/0.57</f>
        <v>0.66666666666666674</v>
      </c>
      <c r="E14" t="s">
        <v>78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2:20" x14ac:dyDescent="0.2">
      <c r="C15" t="s">
        <v>79</v>
      </c>
      <c r="D15" s="22">
        <f>D13*$D$14</f>
        <v>62.318753084443742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x14ac:dyDescent="0.2">
      <c r="D16" s="22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x14ac:dyDescent="0.2">
      <c r="B17" t="s">
        <v>80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x14ac:dyDescent="0.2">
      <c r="C18" t="s">
        <v>81</v>
      </c>
      <c r="D18" s="20">
        <v>180000000000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x14ac:dyDescent="0.2">
      <c r="C19" t="s">
        <v>82</v>
      </c>
      <c r="D19" s="20">
        <f>D18/7</f>
        <v>25714285714.285713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x14ac:dyDescent="0.2">
      <c r="B20" t="s">
        <v>83</v>
      </c>
      <c r="D20">
        <v>0.9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x14ac:dyDescent="0.2">
      <c r="A21" s="21"/>
      <c r="B21" t="s">
        <v>84</v>
      </c>
      <c r="D21" s="20">
        <f>D19*D20</f>
        <v>23142857142.857143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x14ac:dyDescent="0.2">
      <c r="B22" t="s">
        <v>85</v>
      </c>
      <c r="D22" s="20">
        <f>(44/12)*D21</f>
        <v>84857142857.142853</v>
      </c>
      <c r="F22" s="20">
        <f>D9+D22+D32+D43</f>
        <v>3485072030776.6978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x14ac:dyDescent="0.2"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x14ac:dyDescent="0.2">
      <c r="B24" t="s">
        <v>73</v>
      </c>
      <c r="D24" s="20">
        <v>5360000000000000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">
      <c r="B25" t="s">
        <v>86</v>
      </c>
      <c r="D25" s="20">
        <f>D22/D24</f>
        <v>1.5831556503198295E-5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x14ac:dyDescent="0.2">
      <c r="C26" t="s">
        <v>87</v>
      </c>
      <c r="D26" s="24">
        <f>D25*(1000000)</f>
        <v>15.831556503198295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">
      <c r="C27" t="s">
        <v>79</v>
      </c>
      <c r="D27" s="22">
        <f>D26*$D$14</f>
        <v>10.554371002132198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2">
      <c r="D28" s="22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x14ac:dyDescent="0.2">
      <c r="B29" t="s">
        <v>88</v>
      </c>
      <c r="D29" s="20">
        <f>155*4973*1000000</f>
        <v>770815000000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x14ac:dyDescent="0.2">
      <c r="B30" t="s">
        <v>83</v>
      </c>
      <c r="D30">
        <v>0.9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x14ac:dyDescent="0.2">
      <c r="B31" t="s">
        <v>84</v>
      </c>
      <c r="D31" s="20">
        <f>D29*D30</f>
        <v>693733500000</v>
      </c>
      <c r="E31" t="s">
        <v>89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x14ac:dyDescent="0.2">
      <c r="B32" t="s">
        <v>85</v>
      </c>
      <c r="D32" s="20">
        <f>(44/12)*D31</f>
        <v>2543689500000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2:20" x14ac:dyDescent="0.2">
      <c r="K33" s="21" t="s">
        <v>103</v>
      </c>
      <c r="L33" s="21" t="s">
        <v>104</v>
      </c>
      <c r="M33" s="21"/>
      <c r="N33" s="21"/>
      <c r="O33" s="21"/>
      <c r="P33" s="21"/>
      <c r="Q33" s="21"/>
      <c r="R33" s="21"/>
      <c r="S33" s="21"/>
      <c r="T33" s="21"/>
    </row>
    <row r="34" spans="2:20" x14ac:dyDescent="0.2">
      <c r="B34" t="s">
        <v>73</v>
      </c>
      <c r="D34" s="20">
        <v>5360000000000000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2:20" x14ac:dyDescent="0.2">
      <c r="B35" t="s">
        <v>90</v>
      </c>
      <c r="D35" s="20">
        <f>D32/D34</f>
        <v>4.7456893656716418E-4</v>
      </c>
      <c r="K35" s="21" t="s">
        <v>67</v>
      </c>
      <c r="L35" s="21"/>
      <c r="M35" s="21"/>
      <c r="N35" s="21"/>
      <c r="O35" s="21"/>
      <c r="P35" s="21"/>
      <c r="Q35" s="21"/>
      <c r="R35" s="21"/>
      <c r="S35" s="21"/>
      <c r="T35" s="21"/>
    </row>
    <row r="36" spans="2:20" x14ac:dyDescent="0.2">
      <c r="C36" t="s">
        <v>87</v>
      </c>
      <c r="D36" s="24">
        <f>D35*(1000000)</f>
        <v>474.5689365671642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2:20" x14ac:dyDescent="0.2">
      <c r="C37" t="s">
        <v>79</v>
      </c>
      <c r="D37" s="22">
        <f>D36*$D$14</f>
        <v>316.37929104477615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2:20" x14ac:dyDescent="0.2">
      <c r="D38" s="22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2:20" x14ac:dyDescent="0.2">
      <c r="B39" t="s">
        <v>91</v>
      </c>
      <c r="D39">
        <f>5500*(1000000000000)</f>
        <v>5500000000000000</v>
      </c>
      <c r="E39" t="s">
        <v>92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2:20" x14ac:dyDescent="0.2">
      <c r="C40" t="s">
        <v>93</v>
      </c>
      <c r="D40">
        <v>35.314666699999997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2:20" x14ac:dyDescent="0.2">
      <c r="D41">
        <f>D39/D40</f>
        <v>155742656350767.72</v>
      </c>
      <c r="E41" t="s">
        <v>94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2:20" x14ac:dyDescent="0.2">
      <c r="C42" t="s">
        <v>95</v>
      </c>
      <c r="D42">
        <f>(D41*'[1]2022calc'!D10)/1000</f>
        <v>129266404771.13721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2:20" x14ac:dyDescent="0.2">
      <c r="C43" t="s">
        <v>85</v>
      </c>
      <c r="D43">
        <f>D42*(44/16)</f>
        <v>355482613120.62732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2:20" x14ac:dyDescent="0.2"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2:20" x14ac:dyDescent="0.2">
      <c r="B45" t="s">
        <v>73</v>
      </c>
      <c r="D45" s="20">
        <v>5360000000000000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2:20" x14ac:dyDescent="0.2">
      <c r="B46" t="s">
        <v>96</v>
      </c>
      <c r="D46" s="20">
        <f>D43/D45</f>
        <v>6.6321383044893158E-5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2:20" x14ac:dyDescent="0.2">
      <c r="C47" t="s">
        <v>87</v>
      </c>
      <c r="D47" s="25">
        <f>D46*(1000000)</f>
        <v>66.321383044893153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2:20" x14ac:dyDescent="0.2">
      <c r="C48" t="s">
        <v>79</v>
      </c>
      <c r="D48" s="22">
        <f>D47*$D$14</f>
        <v>44.214255363262104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2:20" x14ac:dyDescent="0.2"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2:20" x14ac:dyDescent="0.2">
      <c r="B50" s="6"/>
      <c r="C50" s="26" t="s">
        <v>97</v>
      </c>
      <c r="D50" s="26">
        <v>370</v>
      </c>
      <c r="E50" s="27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2:20" x14ac:dyDescent="0.2">
      <c r="B51" s="15"/>
      <c r="C51" t="s">
        <v>98</v>
      </c>
      <c r="E51" s="28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2:20" x14ac:dyDescent="0.2">
      <c r="B52" s="15" t="s">
        <v>99</v>
      </c>
      <c r="D52" s="25">
        <f>D15+D50</f>
        <v>432.31875308444376</v>
      </c>
      <c r="E52" s="28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2:20" x14ac:dyDescent="0.2">
      <c r="B53" s="15"/>
      <c r="C53" t="s">
        <v>100</v>
      </c>
      <c r="D53" s="25">
        <f>D27+D52</f>
        <v>442.87312408657596</v>
      </c>
      <c r="E53" s="28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2:20" x14ac:dyDescent="0.2">
      <c r="B54" s="15"/>
      <c r="C54" t="s">
        <v>101</v>
      </c>
      <c r="D54" s="25">
        <f>D53+D37</f>
        <v>759.25241513135211</v>
      </c>
      <c r="E54" s="28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2:20" x14ac:dyDescent="0.2">
      <c r="B55" s="8"/>
      <c r="C55" s="29" t="s">
        <v>102</v>
      </c>
      <c r="D55" s="30">
        <f>D48+D54</f>
        <v>803.46667049461416</v>
      </c>
      <c r="E55" s="3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2:20" x14ac:dyDescent="0.2"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2:20" x14ac:dyDescent="0.2"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2:20" x14ac:dyDescent="0.2">
      <c r="B58" s="38" t="s">
        <v>31</v>
      </c>
      <c r="E58" t="s">
        <v>145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2:20" ht="19" x14ac:dyDescent="0.2">
      <c r="B59" s="2" t="s">
        <v>29</v>
      </c>
      <c r="C59">
        <v>516000000000000</v>
      </c>
      <c r="E59" s="47" t="s">
        <v>146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2:20" ht="19" x14ac:dyDescent="0.2">
      <c r="B60" s="2" t="s">
        <v>30</v>
      </c>
      <c r="C60">
        <v>14611354948322.242</v>
      </c>
      <c r="E60" s="47" t="s">
        <v>147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2:20" x14ac:dyDescent="0.2">
      <c r="B61" s="2" t="s">
        <v>21</v>
      </c>
      <c r="C61">
        <v>14611.354948322241</v>
      </c>
      <c r="E61" t="s">
        <v>148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2:20" x14ac:dyDescent="0.2">
      <c r="B62" s="2" t="s">
        <v>22</v>
      </c>
      <c r="C62">
        <v>498554.04219170328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2:20" x14ac:dyDescent="0.2">
      <c r="B63" s="2" t="s">
        <v>23</v>
      </c>
      <c r="C63">
        <v>498554042191.70325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2:20" x14ac:dyDescent="0.2">
      <c r="B64" s="2" t="s">
        <v>25</v>
      </c>
      <c r="C64">
        <v>7194134828826.2783</v>
      </c>
      <c r="E64" t="s">
        <v>149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2:20" x14ac:dyDescent="0.2">
      <c r="B65" s="2" t="s">
        <v>26</v>
      </c>
      <c r="C65">
        <v>7194134828.8262777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2:20" x14ac:dyDescent="0.2">
      <c r="B66" s="2" t="s">
        <v>5</v>
      </c>
      <c r="C66">
        <v>26378494372.363018</v>
      </c>
      <c r="E66" t="s">
        <v>150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2:20" x14ac:dyDescent="0.2">
      <c r="B67" s="2" t="s">
        <v>8</v>
      </c>
      <c r="C67">
        <v>5.1240276558591722E-6</v>
      </c>
      <c r="E67" s="5" t="s">
        <v>151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2:20" x14ac:dyDescent="0.2">
      <c r="B68" s="2" t="s">
        <v>9</v>
      </c>
      <c r="C68">
        <v>5.1240276558591722</v>
      </c>
      <c r="K68" s="21" t="s">
        <v>74</v>
      </c>
      <c r="L68" s="21"/>
      <c r="M68" s="21"/>
      <c r="N68" s="21"/>
      <c r="O68" s="21"/>
      <c r="P68" s="21"/>
      <c r="Q68" s="21"/>
      <c r="R68" s="21"/>
      <c r="S68" s="21"/>
      <c r="T68" s="21"/>
    </row>
    <row r="69" spans="2:20" x14ac:dyDescent="0.2">
      <c r="B69" s="2" t="s">
        <v>56</v>
      </c>
      <c r="C69">
        <v>3.4184253638303272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2:20" x14ac:dyDescent="0.2"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2:20" x14ac:dyDescent="0.2"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2:20" x14ac:dyDescent="0.2"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2:20" x14ac:dyDescent="0.2"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2:20" x14ac:dyDescent="0.2"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2:20" x14ac:dyDescent="0.2"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2:20" x14ac:dyDescent="0.2"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2:20" x14ac:dyDescent="0.2"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2:20" x14ac:dyDescent="0.2"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2:20" x14ac:dyDescent="0.2"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2:20" x14ac:dyDescent="0.2"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1:20" x14ac:dyDescent="0.2"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1:20" x14ac:dyDescent="0.2"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1:20" x14ac:dyDescent="0.2"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1:20" x14ac:dyDescent="0.2"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1:20" x14ac:dyDescent="0.2"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1:20" x14ac:dyDescent="0.2"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1:20" x14ac:dyDescent="0.2"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1:20" x14ac:dyDescent="0.2"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1:20" x14ac:dyDescent="0.2"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1:20" x14ac:dyDescent="0.2"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1:20" x14ac:dyDescent="0.2"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1:20" x14ac:dyDescent="0.2"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1:20" x14ac:dyDescent="0.2"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1:20" x14ac:dyDescent="0.2"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1:20" x14ac:dyDescent="0.2"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1:20" x14ac:dyDescent="0.2"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1:20" x14ac:dyDescent="0.2"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1:20" x14ac:dyDescent="0.2"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1:20" x14ac:dyDescent="0.2"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1:20" x14ac:dyDescent="0.2"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1:20" x14ac:dyDescent="0.2"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1:20" x14ac:dyDescent="0.2"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1:20" x14ac:dyDescent="0.2"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1:20" x14ac:dyDescent="0.2"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1:20" x14ac:dyDescent="0.2"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1:20" x14ac:dyDescent="0.2"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1:20" x14ac:dyDescent="0.2"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1:20" x14ac:dyDescent="0.2">
      <c r="K108" s="21"/>
      <c r="L108" s="21" t="s">
        <v>89</v>
      </c>
      <c r="M108" s="21" t="s">
        <v>105</v>
      </c>
      <c r="N108" s="21"/>
      <c r="O108" s="21"/>
      <c r="P108" s="21"/>
      <c r="Q108" s="21"/>
      <c r="R108" s="21"/>
      <c r="S108" s="21"/>
      <c r="T108" s="21"/>
    </row>
    <row r="109" spans="11:20" x14ac:dyDescent="0.2"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1:20" x14ac:dyDescent="0.2"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1:20" x14ac:dyDescent="0.2"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1:20" x14ac:dyDescent="0.2"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1:20" x14ac:dyDescent="0.2"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1:20" x14ac:dyDescent="0.2"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1:20" x14ac:dyDescent="0.2"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1:20" x14ac:dyDescent="0.2"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1:20" x14ac:dyDescent="0.2"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1:20" x14ac:dyDescent="0.2"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1:20" x14ac:dyDescent="0.2"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1:20" x14ac:dyDescent="0.2"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1:20" x14ac:dyDescent="0.2"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1:20" x14ac:dyDescent="0.2"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1:20" x14ac:dyDescent="0.2"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1:20" x14ac:dyDescent="0.2"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1:20" x14ac:dyDescent="0.2"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1:20" x14ac:dyDescent="0.2"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1:20" x14ac:dyDescent="0.2"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1:20" x14ac:dyDescent="0.2"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1:20" x14ac:dyDescent="0.2"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1:20" x14ac:dyDescent="0.2"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1:20" x14ac:dyDescent="0.2">
      <c r="K131" s="21" t="s">
        <v>92</v>
      </c>
      <c r="L131" s="21" t="s">
        <v>106</v>
      </c>
      <c r="M131" s="21"/>
      <c r="N131" s="21"/>
      <c r="O131" s="21"/>
      <c r="P131" s="21"/>
      <c r="Q131" s="21"/>
      <c r="R131" s="21"/>
      <c r="S131" s="21"/>
      <c r="T131" s="21"/>
    </row>
    <row r="132" spans="11:20" x14ac:dyDescent="0.2"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1:20" x14ac:dyDescent="0.2">
      <c r="K133" s="21" t="s">
        <v>107</v>
      </c>
      <c r="L133" s="21" t="s">
        <v>108</v>
      </c>
      <c r="M133" s="21"/>
      <c r="N133" s="21"/>
      <c r="O133" s="21"/>
      <c r="P133" s="21"/>
      <c r="Q133" s="21"/>
      <c r="R133" s="21"/>
      <c r="S133" s="21"/>
      <c r="T133" s="21"/>
    </row>
    <row r="134" spans="11:20" x14ac:dyDescent="0.2"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1:20" x14ac:dyDescent="0.2"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1:20" x14ac:dyDescent="0.2"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1:20" x14ac:dyDescent="0.2">
      <c r="K137" s="21" t="s">
        <v>78</v>
      </c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1:20" x14ac:dyDescent="0.2"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1:20" x14ac:dyDescent="0.2"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1:20" x14ac:dyDescent="0.2"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1:20" x14ac:dyDescent="0.2">
      <c r="K141" s="21"/>
      <c r="L141" s="21" t="s">
        <v>109</v>
      </c>
      <c r="M141" s="21"/>
      <c r="N141" s="21"/>
      <c r="O141" s="21"/>
      <c r="P141" s="21"/>
      <c r="Q141" s="21"/>
      <c r="R141" s="21"/>
      <c r="S141" s="21"/>
      <c r="T141" s="21"/>
    </row>
    <row r="142" spans="11:20" x14ac:dyDescent="0.2"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</sheetData>
  <hyperlinks>
    <hyperlink ref="E67" r:id="rId1" display="https://www.eia.gov/todayinenergy/detail.php?id=11611" xr:uid="{F01BB184-1D6C-B947-AA7A-27DCB6DE3E9A}"/>
  </hyperlinks>
  <pageMargins left="0.7" right="0.7" top="0.75" bottom="0.75" header="0.3" footer="0.3"/>
  <pageSetup paperSize="9" orientation="portrait" horizontalDpi="0" verticalDpi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M31"/>
  <sheetViews>
    <sheetView topLeftCell="A15" workbookViewId="0">
      <selection activeCell="M8" sqref="M8"/>
    </sheetView>
  </sheetViews>
  <sheetFormatPr baseColWidth="10" defaultColWidth="8.83203125" defaultRowHeight="15" x14ac:dyDescent="0.2"/>
  <cols>
    <col min="5" max="5" width="12" bestFit="1" customWidth="1"/>
  </cols>
  <sheetData>
    <row r="3" spans="4:13" x14ac:dyDescent="0.2">
      <c r="D3" s="21" t="s">
        <v>110</v>
      </c>
      <c r="I3" s="20">
        <v>35000000000</v>
      </c>
    </row>
    <row r="4" spans="4:13" x14ac:dyDescent="0.2">
      <c r="D4" s="21" t="s">
        <v>111</v>
      </c>
      <c r="I4">
        <v>4911338862690.1777</v>
      </c>
    </row>
    <row r="5" spans="4:13" ht="16" thickBot="1" x14ac:dyDescent="0.25">
      <c r="K5" s="20">
        <f>I4/I3</f>
        <v>140.32396750543364</v>
      </c>
      <c r="L5" t="s">
        <v>152</v>
      </c>
    </row>
    <row r="6" spans="4:13" ht="16" thickBot="1" x14ac:dyDescent="0.25">
      <c r="D6" s="21" t="s">
        <v>112</v>
      </c>
      <c r="I6" s="32">
        <v>50</v>
      </c>
    </row>
    <row r="7" spans="4:13" x14ac:dyDescent="0.2">
      <c r="D7" s="21" t="s">
        <v>113</v>
      </c>
      <c r="H7" s="33"/>
      <c r="I7" s="20">
        <f>I4/I6</f>
        <v>98226777253.803558</v>
      </c>
    </row>
    <row r="8" spans="4:13" x14ac:dyDescent="0.2">
      <c r="M8" t="s">
        <v>153</v>
      </c>
    </row>
    <row r="9" spans="4:13" x14ac:dyDescent="0.2">
      <c r="D9" s="21" t="s">
        <v>114</v>
      </c>
      <c r="I9" s="20">
        <v>2600000000</v>
      </c>
    </row>
    <row r="11" spans="4:13" x14ac:dyDescent="0.2">
      <c r="D11" s="21" t="s">
        <v>115</v>
      </c>
      <c r="I11" s="20">
        <f>I4/4</f>
        <v>1227834715672.5444</v>
      </c>
    </row>
    <row r="13" spans="4:13" x14ac:dyDescent="0.2">
      <c r="D13" s="21" t="s">
        <v>116</v>
      </c>
      <c r="I13" s="20">
        <f>I4/4</f>
        <v>1227834715672.5444</v>
      </c>
    </row>
    <row r="15" spans="4:13" x14ac:dyDescent="0.2">
      <c r="D15" s="21" t="s">
        <v>117</v>
      </c>
      <c r="I15" s="20">
        <f>I9+I11+I13</f>
        <v>2458269431345.0889</v>
      </c>
    </row>
    <row r="17" spans="3:11" x14ac:dyDescent="0.2">
      <c r="D17" s="21" t="s">
        <v>118</v>
      </c>
      <c r="I17" s="20">
        <f>I4-(I15)</f>
        <v>2453069431345.0889</v>
      </c>
      <c r="K17" s="34">
        <f>I17/I4</f>
        <v>0.49947061278549698</v>
      </c>
    </row>
    <row r="19" spans="3:11" x14ac:dyDescent="0.2">
      <c r="D19" s="21" t="s">
        <v>119</v>
      </c>
      <c r="I19" s="20">
        <v>5360000000000000</v>
      </c>
    </row>
    <row r="21" spans="3:11" x14ac:dyDescent="0.2">
      <c r="D21" s="21" t="s">
        <v>120</v>
      </c>
      <c r="I21" s="20">
        <f>I17/I19</f>
        <v>4.5766220734050166E-4</v>
      </c>
      <c r="J21" s="21" t="s">
        <v>121</v>
      </c>
    </row>
    <row r="22" spans="3:11" x14ac:dyDescent="0.2">
      <c r="E22" t="s">
        <v>136</v>
      </c>
      <c r="I22" s="24">
        <v>9.7774244892033568</v>
      </c>
      <c r="J22" s="21" t="s">
        <v>122</v>
      </c>
    </row>
    <row r="23" spans="3:11" x14ac:dyDescent="0.2">
      <c r="E23" t="s">
        <v>136</v>
      </c>
      <c r="I23" s="24">
        <v>6.5182829928022388</v>
      </c>
      <c r="J23" s="21" t="s">
        <v>123</v>
      </c>
    </row>
    <row r="24" spans="3:11" x14ac:dyDescent="0.2">
      <c r="D24" s="21" t="s">
        <v>124</v>
      </c>
      <c r="I24" s="25">
        <v>325.91414964011193</v>
      </c>
      <c r="J24" s="21" t="s">
        <v>123</v>
      </c>
    </row>
    <row r="25" spans="3:11" x14ac:dyDescent="0.2">
      <c r="D25" s="21" t="s">
        <v>125</v>
      </c>
      <c r="I25" s="25">
        <v>738.91414964011187</v>
      </c>
      <c r="J25" s="21" t="s">
        <v>123</v>
      </c>
    </row>
    <row r="27" spans="3:11" x14ac:dyDescent="0.2">
      <c r="C27" s="21" t="s">
        <v>126</v>
      </c>
      <c r="E27">
        <v>2.6</v>
      </c>
      <c r="F27" s="21" t="s">
        <v>127</v>
      </c>
      <c r="H27" t="s">
        <v>128</v>
      </c>
    </row>
    <row r="29" spans="3:11" x14ac:dyDescent="0.2">
      <c r="C29" s="21" t="s">
        <v>129</v>
      </c>
      <c r="E29" s="35" t="s">
        <v>130</v>
      </c>
      <c r="H29" t="s">
        <v>128</v>
      </c>
    </row>
    <row r="31" spans="3:11" x14ac:dyDescent="0.2">
      <c r="C31" s="21" t="s">
        <v>131</v>
      </c>
      <c r="E31" s="21" t="s">
        <v>132</v>
      </c>
      <c r="H31" t="s">
        <v>128</v>
      </c>
    </row>
  </sheetData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D276-C826-6F4C-B0A5-358FBDA88837}">
  <dimension ref="A1:U31"/>
  <sheetViews>
    <sheetView workbookViewId="0">
      <selection activeCell="T12" sqref="T12"/>
    </sheetView>
  </sheetViews>
  <sheetFormatPr baseColWidth="10" defaultRowHeight="15" x14ac:dyDescent="0.2"/>
  <cols>
    <col min="5" max="5" width="16.6640625" customWidth="1"/>
    <col min="13" max="13" width="13.6640625" bestFit="1" customWidth="1"/>
    <col min="17" max="17" width="14.6640625" bestFit="1" customWidth="1"/>
    <col min="20" max="20" width="11.6640625" customWidth="1"/>
  </cols>
  <sheetData>
    <row r="1" spans="1:21" x14ac:dyDescent="0.2">
      <c r="A1" s="69"/>
      <c r="B1" s="72" t="s">
        <v>255</v>
      </c>
      <c r="C1" s="69"/>
      <c r="D1" s="69"/>
      <c r="E1" s="69"/>
      <c r="F1" s="69"/>
      <c r="G1" s="69"/>
      <c r="H1" s="69"/>
      <c r="K1" s="55"/>
      <c r="L1" s="63" t="s">
        <v>256</v>
      </c>
      <c r="M1" s="55"/>
      <c r="N1" s="55"/>
      <c r="O1" s="55"/>
      <c r="P1" s="55"/>
      <c r="Q1" s="55"/>
      <c r="R1" s="55"/>
      <c r="S1" s="55"/>
      <c r="T1" s="55"/>
      <c r="U1" s="55"/>
    </row>
    <row r="2" spans="1:21" x14ac:dyDescent="0.2">
      <c r="A2" s="69"/>
      <c r="B2" s="69"/>
      <c r="C2" s="69" t="s">
        <v>137</v>
      </c>
      <c r="D2" s="69"/>
      <c r="E2" s="69" t="s">
        <v>138</v>
      </c>
      <c r="F2" s="69"/>
      <c r="G2" s="69"/>
      <c r="H2" s="69"/>
      <c r="K2" s="55" t="s">
        <v>257</v>
      </c>
      <c r="L2" s="55"/>
      <c r="M2" s="55"/>
      <c r="N2" s="55"/>
      <c r="O2" s="55" t="s">
        <v>264</v>
      </c>
      <c r="P2" s="55"/>
      <c r="Q2" s="55" t="s">
        <v>265</v>
      </c>
      <c r="R2" s="55"/>
      <c r="S2" s="55"/>
      <c r="T2" s="55"/>
      <c r="U2" s="55"/>
    </row>
    <row r="3" spans="1:21" x14ac:dyDescent="0.2">
      <c r="A3" s="69"/>
      <c r="B3" s="69"/>
      <c r="C3" s="69"/>
      <c r="D3" s="69"/>
      <c r="E3" s="69"/>
      <c r="F3" s="69"/>
      <c r="G3" s="69"/>
      <c r="H3" s="69"/>
      <c r="K3" s="55" t="s">
        <v>259</v>
      </c>
      <c r="L3" s="55"/>
      <c r="M3" s="55">
        <v>1000</v>
      </c>
      <c r="N3" s="55" t="s">
        <v>258</v>
      </c>
      <c r="O3" s="55"/>
      <c r="P3" s="55"/>
      <c r="Q3" s="55"/>
      <c r="R3" s="55"/>
      <c r="S3" s="55"/>
      <c r="T3" s="55"/>
      <c r="U3" s="55"/>
    </row>
    <row r="4" spans="1:21" x14ac:dyDescent="0.2">
      <c r="A4" s="69"/>
      <c r="B4" s="69"/>
      <c r="C4" s="69"/>
      <c r="D4" s="70">
        <v>2005</v>
      </c>
      <c r="E4" s="71">
        <v>29614602000</v>
      </c>
      <c r="F4" s="69"/>
      <c r="G4" s="69"/>
      <c r="H4" s="69"/>
      <c r="K4" s="55" t="s">
        <v>260</v>
      </c>
      <c r="L4" s="55"/>
      <c r="M4" s="78">
        <f>8760*M3</f>
        <v>8760000</v>
      </c>
      <c r="N4" s="55" t="s">
        <v>261</v>
      </c>
      <c r="O4" s="55"/>
      <c r="P4" s="55"/>
      <c r="Q4" s="55"/>
      <c r="R4" s="55"/>
      <c r="S4" s="55"/>
      <c r="T4" s="55"/>
      <c r="U4" s="55"/>
    </row>
    <row r="5" spans="1:21" x14ac:dyDescent="0.2">
      <c r="A5" s="69"/>
      <c r="B5" s="69"/>
      <c r="C5" s="69"/>
      <c r="D5" s="70">
        <v>2006</v>
      </c>
      <c r="E5" s="71">
        <v>30593118000</v>
      </c>
      <c r="F5" s="69"/>
      <c r="G5" s="69"/>
      <c r="H5" s="69"/>
      <c r="K5" s="55" t="s">
        <v>262</v>
      </c>
      <c r="L5" s="55"/>
      <c r="M5" s="79">
        <v>0.6</v>
      </c>
      <c r="N5" s="55"/>
      <c r="O5" s="55"/>
      <c r="P5" s="55"/>
      <c r="Q5" s="55"/>
      <c r="R5" s="55"/>
      <c r="S5" s="55"/>
      <c r="T5" s="55"/>
      <c r="U5" s="55"/>
    </row>
    <row r="6" spans="1:21" x14ac:dyDescent="0.2">
      <c r="A6" s="69"/>
      <c r="B6" s="69"/>
      <c r="C6" s="69"/>
      <c r="D6" s="70">
        <v>2007</v>
      </c>
      <c r="E6" s="71">
        <v>31506788000</v>
      </c>
      <c r="F6" s="69"/>
      <c r="G6" s="69"/>
      <c r="H6" s="69"/>
      <c r="K6" s="55" t="s">
        <v>263</v>
      </c>
      <c r="L6" s="55"/>
      <c r="M6" s="78">
        <f>M4*M5</f>
        <v>5256000</v>
      </c>
      <c r="N6" s="55" t="s">
        <v>261</v>
      </c>
      <c r="O6" s="55"/>
      <c r="P6" s="55"/>
      <c r="Q6" s="55"/>
      <c r="R6" s="55"/>
      <c r="S6" s="55"/>
      <c r="T6" s="55"/>
      <c r="U6" s="55"/>
    </row>
    <row r="7" spans="1:21" x14ac:dyDescent="0.2">
      <c r="A7" s="69" t="s">
        <v>134</v>
      </c>
      <c r="B7" s="69"/>
      <c r="C7" s="69"/>
      <c r="D7" s="70">
        <v>2008</v>
      </c>
      <c r="E7" s="71">
        <v>32085836000</v>
      </c>
      <c r="F7" s="69"/>
      <c r="G7" s="69"/>
      <c r="H7" s="69"/>
      <c r="K7" s="55"/>
      <c r="L7" s="55"/>
      <c r="M7" s="55"/>
      <c r="N7" s="55"/>
      <c r="O7" s="55"/>
      <c r="P7" s="55"/>
      <c r="Q7" s="55"/>
      <c r="R7" s="55"/>
      <c r="S7" s="55"/>
      <c r="T7" s="55" t="s">
        <v>291</v>
      </c>
      <c r="U7" s="55"/>
    </row>
    <row r="8" spans="1:21" x14ac:dyDescent="0.2">
      <c r="A8" s="69"/>
      <c r="B8" s="69"/>
      <c r="C8" s="69"/>
      <c r="D8" s="70">
        <v>2009</v>
      </c>
      <c r="E8" s="71">
        <v>31564032000</v>
      </c>
      <c r="F8" s="69"/>
      <c r="G8" s="69"/>
      <c r="H8" s="69"/>
      <c r="K8" s="55" t="s">
        <v>266</v>
      </c>
      <c r="L8" s="55"/>
      <c r="M8" s="55">
        <v>30</v>
      </c>
      <c r="N8" s="55" t="s">
        <v>267</v>
      </c>
      <c r="O8" s="55" t="s">
        <v>280</v>
      </c>
      <c r="P8" s="55"/>
      <c r="Q8" s="55">
        <v>37.299999999999997</v>
      </c>
      <c r="R8" s="55" t="s">
        <v>281</v>
      </c>
      <c r="S8" s="55"/>
      <c r="T8" s="55" t="s">
        <v>292</v>
      </c>
      <c r="U8" s="90">
        <f>22/143</f>
        <v>0.15384615384615385</v>
      </c>
    </row>
    <row r="9" spans="1:21" x14ac:dyDescent="0.2">
      <c r="A9" s="69"/>
      <c r="B9" s="69"/>
      <c r="C9" s="69"/>
      <c r="D9" s="70">
        <v>2010</v>
      </c>
      <c r="E9" s="71">
        <v>33364347000</v>
      </c>
      <c r="F9" s="69"/>
      <c r="G9" s="69"/>
      <c r="H9" s="69"/>
      <c r="K9" s="55"/>
      <c r="L9" s="55"/>
      <c r="M9" s="78">
        <f>M8*1000</f>
        <v>30000</v>
      </c>
      <c r="N9" s="55" t="s">
        <v>268</v>
      </c>
      <c r="O9" s="55"/>
      <c r="P9" s="55"/>
      <c r="Q9" s="55">
        <v>35300</v>
      </c>
      <c r="R9" s="55" t="s">
        <v>282</v>
      </c>
      <c r="S9" s="55"/>
      <c r="T9" s="55" t="s">
        <v>293</v>
      </c>
      <c r="U9" s="90">
        <f>(243-159)/243</f>
        <v>0.34567901234567899</v>
      </c>
    </row>
    <row r="10" spans="1:21" x14ac:dyDescent="0.2">
      <c r="A10" s="69"/>
      <c r="B10" s="69"/>
      <c r="C10" s="69"/>
      <c r="D10" s="70">
        <v>2011</v>
      </c>
      <c r="E10" s="71">
        <v>34487013000</v>
      </c>
      <c r="F10" s="69"/>
      <c r="G10" s="69"/>
      <c r="H10" s="69"/>
      <c r="K10" s="55"/>
      <c r="L10" s="55"/>
      <c r="M10" s="55"/>
      <c r="N10" s="55"/>
      <c r="O10" s="55"/>
      <c r="P10" s="55"/>
      <c r="Q10" s="80">
        <f>Q8/M14</f>
        <v>1.0361111111111111E-2</v>
      </c>
      <c r="R10" s="55" t="s">
        <v>261</v>
      </c>
      <c r="S10" s="55"/>
      <c r="T10" s="55" t="s">
        <v>294</v>
      </c>
      <c r="U10" s="90">
        <f>((250+143)-(121+96))/(250+143)</f>
        <v>0.44783715012722647</v>
      </c>
    </row>
    <row r="11" spans="1:21" x14ac:dyDescent="0.2">
      <c r="A11" s="69"/>
      <c r="B11" s="69"/>
      <c r="C11" s="69"/>
      <c r="D11" s="70">
        <v>2012</v>
      </c>
      <c r="E11" s="71">
        <v>35006270000</v>
      </c>
      <c r="F11" s="69"/>
      <c r="G11" s="69"/>
      <c r="H11" s="69"/>
      <c r="K11" s="55" t="s">
        <v>269</v>
      </c>
      <c r="L11" s="55"/>
      <c r="M11" s="55">
        <v>1</v>
      </c>
      <c r="N11" s="55" t="s">
        <v>270</v>
      </c>
      <c r="O11" s="55" t="s">
        <v>283</v>
      </c>
      <c r="P11" s="55"/>
      <c r="Q11" s="55">
        <v>0.76</v>
      </c>
      <c r="R11" s="55" t="s">
        <v>227</v>
      </c>
      <c r="S11" s="55"/>
      <c r="T11" s="55" t="s">
        <v>295</v>
      </c>
      <c r="U11" s="90">
        <f>(518-265)/518</f>
        <v>0.48841698841698844</v>
      </c>
    </row>
    <row r="12" spans="1:21" x14ac:dyDescent="0.2">
      <c r="A12" s="69"/>
      <c r="B12" s="69"/>
      <c r="C12" s="69"/>
      <c r="D12" s="70">
        <v>2013</v>
      </c>
      <c r="E12" s="71">
        <v>35319200000</v>
      </c>
      <c r="F12" s="69"/>
      <c r="G12" s="69"/>
      <c r="H12" s="69"/>
      <c r="K12" s="55"/>
      <c r="L12" s="55"/>
      <c r="M12" s="78">
        <v>3600000</v>
      </c>
      <c r="N12" s="55" t="s">
        <v>271</v>
      </c>
      <c r="O12" s="55"/>
      <c r="P12" s="55"/>
      <c r="Q12" s="55"/>
      <c r="R12" s="55"/>
      <c r="S12" s="55"/>
      <c r="T12" s="55"/>
      <c r="U12" s="55"/>
    </row>
    <row r="13" spans="1:21" x14ac:dyDescent="0.2">
      <c r="A13" s="69"/>
      <c r="B13" s="69"/>
      <c r="C13" s="69"/>
      <c r="D13" s="70">
        <v>2014</v>
      </c>
      <c r="E13" s="71">
        <v>35577537000</v>
      </c>
      <c r="F13" s="69"/>
      <c r="G13" s="69"/>
      <c r="H13" s="69"/>
      <c r="K13" s="55"/>
      <c r="L13" s="55"/>
      <c r="M13" s="55">
        <v>1</v>
      </c>
      <c r="N13" s="55" t="s">
        <v>261</v>
      </c>
      <c r="O13" s="55"/>
      <c r="P13" s="55"/>
      <c r="Q13" s="55"/>
      <c r="R13" s="55"/>
      <c r="S13" s="55"/>
      <c r="T13" s="55"/>
      <c r="U13" s="55"/>
    </row>
    <row r="14" spans="1:21" x14ac:dyDescent="0.2">
      <c r="A14" s="69"/>
      <c r="B14" s="69"/>
      <c r="C14" s="69"/>
      <c r="D14" s="70">
        <v>2015</v>
      </c>
      <c r="E14" s="71">
        <v>35558568000</v>
      </c>
      <c r="F14" s="69"/>
      <c r="G14" s="69"/>
      <c r="H14" s="69"/>
      <c r="K14" s="55"/>
      <c r="L14" s="55"/>
      <c r="M14" s="81">
        <f>(M11*1000*M12)/1000000</f>
        <v>3600</v>
      </c>
      <c r="N14" s="55" t="s">
        <v>272</v>
      </c>
      <c r="O14" s="55"/>
      <c r="P14" s="55"/>
      <c r="Q14" s="55"/>
      <c r="R14" s="55"/>
      <c r="S14" s="55"/>
      <c r="T14" s="55"/>
      <c r="U14" s="55"/>
    </row>
    <row r="15" spans="1:21" x14ac:dyDescent="0.2">
      <c r="A15" s="69"/>
      <c r="B15" s="69"/>
      <c r="C15" s="69"/>
      <c r="D15" s="70">
        <v>2016</v>
      </c>
      <c r="E15" s="71">
        <v>35524190000</v>
      </c>
      <c r="F15" s="69"/>
      <c r="G15" s="69"/>
      <c r="H15" s="69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x14ac:dyDescent="0.2">
      <c r="A16" s="69"/>
      <c r="B16" s="69"/>
      <c r="C16" s="69"/>
      <c r="D16" s="70">
        <v>2017</v>
      </c>
      <c r="E16" s="71">
        <v>36096737000</v>
      </c>
      <c r="F16" s="69"/>
      <c r="G16" s="69"/>
      <c r="H16" s="69"/>
      <c r="K16" s="55" t="s">
        <v>275</v>
      </c>
      <c r="L16" s="55"/>
      <c r="M16" s="82">
        <f>M9/M14</f>
        <v>8.3333333333333339</v>
      </c>
      <c r="N16" s="55" t="s">
        <v>261</v>
      </c>
      <c r="O16" s="55" t="s">
        <v>290</v>
      </c>
      <c r="P16" s="55"/>
      <c r="Q16" s="84">
        <f>(1000/Q11)*Q10</f>
        <v>13.633040935672513</v>
      </c>
      <c r="R16" s="55"/>
      <c r="S16" s="55"/>
      <c r="T16" s="55"/>
      <c r="U16" s="55"/>
    </row>
    <row r="17" spans="1:21" x14ac:dyDescent="0.2">
      <c r="A17" s="69"/>
      <c r="B17" s="69"/>
      <c r="C17" s="69"/>
      <c r="D17" s="70">
        <v>2018</v>
      </c>
      <c r="E17" s="71">
        <v>36826510000</v>
      </c>
      <c r="F17" s="69"/>
      <c r="G17" s="69"/>
      <c r="H17" s="69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x14ac:dyDescent="0.2">
      <c r="A18" s="69"/>
      <c r="B18" s="69"/>
      <c r="C18" s="69"/>
      <c r="D18" s="70">
        <v>2019</v>
      </c>
      <c r="E18" s="71">
        <v>37082560000</v>
      </c>
      <c r="F18" s="69"/>
      <c r="G18" s="69"/>
      <c r="H18" s="69"/>
      <c r="K18" s="55" t="s">
        <v>274</v>
      </c>
      <c r="L18" s="55"/>
      <c r="M18" s="55"/>
      <c r="N18" s="55"/>
      <c r="O18" s="55" t="s">
        <v>285</v>
      </c>
      <c r="P18" s="55"/>
      <c r="Q18" s="55"/>
      <c r="R18" s="55"/>
      <c r="S18" s="55"/>
      <c r="T18" s="55"/>
      <c r="U18" s="55"/>
    </row>
    <row r="19" spans="1:21" x14ac:dyDescent="0.2">
      <c r="A19" s="69"/>
      <c r="B19" s="69"/>
      <c r="C19" s="69"/>
      <c r="D19" s="70">
        <v>2020</v>
      </c>
      <c r="E19" s="71">
        <v>35264086000</v>
      </c>
      <c r="F19" s="69"/>
      <c r="G19" s="69"/>
      <c r="H19" s="69"/>
      <c r="K19" s="55"/>
      <c r="L19" s="55"/>
      <c r="M19" s="83">
        <f>M6/M16</f>
        <v>630720</v>
      </c>
      <c r="N19" s="55"/>
      <c r="O19" s="55"/>
      <c r="P19" s="55"/>
      <c r="Q19" s="78">
        <f>M6/Q10</f>
        <v>507281501.34048259</v>
      </c>
      <c r="R19" s="55" t="s">
        <v>286</v>
      </c>
      <c r="S19" s="55"/>
      <c r="T19" s="55"/>
      <c r="U19" s="55"/>
    </row>
    <row r="20" spans="1:21" x14ac:dyDescent="0.2">
      <c r="A20" s="69"/>
      <c r="B20" s="69"/>
      <c r="C20" s="69"/>
      <c r="D20" s="70">
        <v>2021</v>
      </c>
      <c r="E20" s="71">
        <v>37123850000</v>
      </c>
      <c r="F20" s="69"/>
      <c r="G20" s="69"/>
      <c r="H20" s="69"/>
      <c r="K20" s="55" t="s">
        <v>273</v>
      </c>
      <c r="L20" s="55"/>
      <c r="M20" s="55"/>
      <c r="N20" s="55"/>
      <c r="O20" s="55" t="s">
        <v>284</v>
      </c>
      <c r="P20" s="55"/>
      <c r="Q20" s="55"/>
      <c r="R20" s="55"/>
      <c r="S20" s="55"/>
      <c r="T20" s="55"/>
      <c r="U20" s="55"/>
    </row>
    <row r="21" spans="1:21" x14ac:dyDescent="0.2">
      <c r="A21" s="69"/>
      <c r="B21" s="69"/>
      <c r="C21" s="69"/>
      <c r="D21" s="72" t="s">
        <v>135</v>
      </c>
      <c r="E21" s="73">
        <f>SUM(E4:E20)</f>
        <v>582595244000</v>
      </c>
      <c r="F21" s="74">
        <f>E21/1000000000</f>
        <v>582.59524399999998</v>
      </c>
      <c r="G21" s="69"/>
      <c r="H21" s="69"/>
      <c r="K21" s="55"/>
      <c r="L21" s="55"/>
      <c r="M21" s="79">
        <v>0.37</v>
      </c>
      <c r="N21" s="55"/>
      <c r="O21" s="55"/>
      <c r="P21" s="55"/>
      <c r="Q21" s="79">
        <v>0.55000000000000004</v>
      </c>
      <c r="R21" s="55"/>
      <c r="S21" s="55"/>
      <c r="T21" s="55"/>
      <c r="U21" s="55"/>
    </row>
    <row r="22" spans="1:21" x14ac:dyDescent="0.2">
      <c r="A22" s="69"/>
      <c r="B22" s="69"/>
      <c r="C22" s="69"/>
      <c r="D22" s="69"/>
      <c r="E22" s="69"/>
      <c r="F22" s="69"/>
      <c r="G22" s="69"/>
      <c r="H22" s="69"/>
      <c r="K22" s="55" t="s">
        <v>276</v>
      </c>
      <c r="L22" s="55"/>
      <c r="M22" s="55"/>
      <c r="N22" s="55"/>
      <c r="O22" s="55" t="s">
        <v>287</v>
      </c>
      <c r="P22" s="55"/>
      <c r="Q22" s="55"/>
      <c r="R22" s="55"/>
      <c r="S22" s="55"/>
      <c r="T22" s="55"/>
      <c r="U22" s="55"/>
    </row>
    <row r="23" spans="1:21" x14ac:dyDescent="0.2">
      <c r="A23" s="69"/>
      <c r="B23" s="75" t="s">
        <v>119</v>
      </c>
      <c r="C23" s="69"/>
      <c r="D23" s="69"/>
      <c r="E23" s="76">
        <v>5360000000000000</v>
      </c>
      <c r="F23" s="69"/>
      <c r="G23" s="69"/>
      <c r="H23" s="69"/>
      <c r="K23" s="55"/>
      <c r="L23" s="55"/>
      <c r="M23" s="55"/>
      <c r="N23" s="55"/>
      <c r="O23" s="55"/>
      <c r="P23" s="55"/>
      <c r="Q23" s="81">
        <f>Q19/Q21</f>
        <v>922330002.43724096</v>
      </c>
      <c r="R23" s="55" t="s">
        <v>286</v>
      </c>
      <c r="S23" s="55"/>
      <c r="T23" s="55"/>
      <c r="U23" s="55"/>
    </row>
    <row r="24" spans="1:21" x14ac:dyDescent="0.2">
      <c r="A24" s="69"/>
      <c r="B24" s="69"/>
      <c r="C24" s="69"/>
      <c r="D24" s="69"/>
      <c r="E24" s="69"/>
      <c r="F24" s="69"/>
      <c r="G24" s="69"/>
      <c r="H24" s="69"/>
      <c r="K24" s="55"/>
      <c r="L24" s="55"/>
      <c r="M24" s="81">
        <f>M19/M21</f>
        <v>1704648.6486486488</v>
      </c>
      <c r="N24" s="55" t="s">
        <v>82</v>
      </c>
      <c r="O24" s="55" t="s">
        <v>289</v>
      </c>
      <c r="P24" s="55"/>
      <c r="Q24" s="81">
        <f>(Q23*Q11)/1000</f>
        <v>700970.80185230309</v>
      </c>
      <c r="R24" s="55" t="s">
        <v>82</v>
      </c>
      <c r="S24" s="55">
        <f>44/16</f>
        <v>2.75</v>
      </c>
      <c r="T24" s="55"/>
      <c r="U24" s="55"/>
    </row>
    <row r="25" spans="1:21" x14ac:dyDescent="0.2">
      <c r="A25" s="69"/>
      <c r="B25" s="75" t="s">
        <v>120</v>
      </c>
      <c r="C25" s="69"/>
      <c r="D25" s="69"/>
      <c r="E25" s="76">
        <f>E21/E23</f>
        <v>1.0869314253731344E-4</v>
      </c>
      <c r="F25" s="75" t="s">
        <v>121</v>
      </c>
      <c r="G25" s="69"/>
      <c r="H25" s="69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x14ac:dyDescent="0.2">
      <c r="A26" s="69"/>
      <c r="B26" s="69"/>
      <c r="C26" s="69" t="s">
        <v>139</v>
      </c>
      <c r="D26" s="69"/>
      <c r="E26" s="74">
        <f>E25*1000000</f>
        <v>108.69314253731343</v>
      </c>
      <c r="F26" s="75" t="s">
        <v>122</v>
      </c>
      <c r="G26" s="69"/>
      <c r="H26" s="69"/>
      <c r="K26" s="55" t="s">
        <v>277</v>
      </c>
      <c r="L26" s="55"/>
      <c r="M26" s="55">
        <v>0.8</v>
      </c>
      <c r="N26" s="55"/>
      <c r="O26" s="55" t="s">
        <v>288</v>
      </c>
      <c r="P26" s="55"/>
      <c r="Q26" s="55">
        <f>12/16</f>
        <v>0.75</v>
      </c>
      <c r="R26" s="55"/>
      <c r="S26" s="55"/>
      <c r="T26" s="55"/>
      <c r="U26" s="55"/>
    </row>
    <row r="27" spans="1:21" x14ac:dyDescent="0.2">
      <c r="A27" s="69"/>
      <c r="B27" s="69"/>
      <c r="C27" s="69" t="s">
        <v>139</v>
      </c>
      <c r="D27" s="69"/>
      <c r="E27" s="74">
        <f>E26*Calc!$A$35</f>
        <v>72.513151817030149</v>
      </c>
      <c r="F27" s="75" t="s">
        <v>123</v>
      </c>
      <c r="G27" s="69"/>
      <c r="H27" s="69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x14ac:dyDescent="0.2">
      <c r="A28" s="69"/>
      <c r="B28" s="75" t="s">
        <v>140</v>
      </c>
      <c r="C28" s="69"/>
      <c r="D28" s="69"/>
      <c r="E28" s="77">
        <v>379</v>
      </c>
      <c r="F28" s="75" t="s">
        <v>123</v>
      </c>
      <c r="G28" s="69"/>
      <c r="H28" s="69"/>
      <c r="K28" s="55" t="s">
        <v>278</v>
      </c>
      <c r="L28" s="55"/>
      <c r="M28" s="81">
        <f>M24*M26</f>
        <v>1363718.9189189191</v>
      </c>
      <c r="N28" s="55"/>
      <c r="O28" s="55" t="s">
        <v>278</v>
      </c>
      <c r="P28" s="55"/>
      <c r="Q28" s="81">
        <f>Q24*Q26</f>
        <v>525728.10138922732</v>
      </c>
      <c r="R28" s="55"/>
      <c r="S28" s="55"/>
      <c r="T28" s="55"/>
      <c r="U28" s="55"/>
    </row>
    <row r="29" spans="1:21" x14ac:dyDescent="0.2">
      <c r="A29" s="69"/>
      <c r="B29" s="75" t="s">
        <v>141</v>
      </c>
      <c r="C29" s="69"/>
      <c r="D29" s="69"/>
      <c r="E29" s="77">
        <v>417.2</v>
      </c>
      <c r="F29" s="75" t="s">
        <v>123</v>
      </c>
      <c r="G29" s="69"/>
      <c r="H29" s="69"/>
      <c r="K29" s="55" t="s">
        <v>279</v>
      </c>
      <c r="L29" s="55"/>
      <c r="M29" s="81">
        <f>M28*(44/12)</f>
        <v>5000302.702702703</v>
      </c>
      <c r="N29" s="55"/>
      <c r="O29" s="55" t="s">
        <v>279</v>
      </c>
      <c r="P29" s="55"/>
      <c r="Q29" s="81">
        <f>Q28*(44/12)</f>
        <v>1927669.7050938334</v>
      </c>
      <c r="R29" s="55"/>
      <c r="S29" s="55"/>
      <c r="T29" s="55"/>
      <c r="U29" s="55"/>
    </row>
    <row r="30" spans="1:21" x14ac:dyDescent="0.2">
      <c r="A30" s="69"/>
      <c r="B30" s="69"/>
      <c r="C30" s="69"/>
      <c r="D30" s="69"/>
      <c r="E30" s="77">
        <f>E29-E28</f>
        <v>38.199999999999989</v>
      </c>
      <c r="F30" s="69"/>
      <c r="G30" s="69"/>
      <c r="H30" s="69"/>
    </row>
    <row r="31" spans="1:21" x14ac:dyDescent="0.2">
      <c r="A31" s="69"/>
      <c r="B31" s="69"/>
      <c r="C31" s="69"/>
      <c r="D31" s="69"/>
      <c r="E31" s="69"/>
      <c r="F31" s="69"/>
      <c r="G31" s="69"/>
      <c r="H31" s="69"/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ED8E-6B6B-3B4D-853B-37C9C28F244E}">
  <dimension ref="B3:I47"/>
  <sheetViews>
    <sheetView topLeftCell="A11" workbookViewId="0">
      <selection activeCell="D47" sqref="D47"/>
    </sheetView>
  </sheetViews>
  <sheetFormatPr baseColWidth="10" defaultRowHeight="15" x14ac:dyDescent="0.2"/>
  <cols>
    <col min="3" max="3" width="12.1640625" bestFit="1" customWidth="1"/>
  </cols>
  <sheetData>
    <row r="3" spans="2:9" x14ac:dyDescent="0.2">
      <c r="C3" t="s">
        <v>155</v>
      </c>
      <c r="D3" t="s">
        <v>156</v>
      </c>
      <c r="G3" t="s">
        <v>158</v>
      </c>
      <c r="I3" t="s">
        <v>159</v>
      </c>
    </row>
    <row r="4" spans="2:9" ht="19" x14ac:dyDescent="0.25">
      <c r="B4" t="s">
        <v>154</v>
      </c>
      <c r="C4">
        <v>420</v>
      </c>
      <c r="D4">
        <v>580</v>
      </c>
      <c r="E4" t="s">
        <v>157</v>
      </c>
    </row>
    <row r="6" spans="2:9" x14ac:dyDescent="0.2">
      <c r="B6" t="s">
        <v>160</v>
      </c>
      <c r="D6">
        <v>990</v>
      </c>
    </row>
    <row r="34" spans="2:5" x14ac:dyDescent="0.2">
      <c r="C34" t="s">
        <v>161</v>
      </c>
      <c r="E34" t="s">
        <v>162</v>
      </c>
    </row>
    <row r="35" spans="2:5" x14ac:dyDescent="0.2">
      <c r="B35">
        <v>2012</v>
      </c>
      <c r="C35" s="41">
        <v>35006270000</v>
      </c>
      <c r="E35" t="s">
        <v>138</v>
      </c>
    </row>
    <row r="36" spans="2:5" x14ac:dyDescent="0.2">
      <c r="B36">
        <v>2013</v>
      </c>
      <c r="C36" s="41">
        <v>35319200000</v>
      </c>
    </row>
    <row r="37" spans="2:5" x14ac:dyDescent="0.2">
      <c r="B37">
        <v>2014</v>
      </c>
      <c r="C37" s="41">
        <v>35577537000</v>
      </c>
    </row>
    <row r="38" spans="2:5" x14ac:dyDescent="0.2">
      <c r="B38">
        <v>2015</v>
      </c>
      <c r="C38" s="41">
        <v>35558568000</v>
      </c>
    </row>
    <row r="39" spans="2:5" x14ac:dyDescent="0.2">
      <c r="B39">
        <v>2016</v>
      </c>
      <c r="C39" s="41">
        <v>35524190000</v>
      </c>
    </row>
    <row r="40" spans="2:5" x14ac:dyDescent="0.2">
      <c r="B40">
        <v>2017</v>
      </c>
      <c r="C40" s="41">
        <v>36096737000</v>
      </c>
    </row>
    <row r="41" spans="2:5" x14ac:dyDescent="0.2">
      <c r="B41">
        <v>2018</v>
      </c>
      <c r="C41" s="41">
        <v>36826510000</v>
      </c>
    </row>
    <row r="42" spans="2:5" x14ac:dyDescent="0.2">
      <c r="B42">
        <v>2019</v>
      </c>
      <c r="C42" s="41">
        <v>37082560000</v>
      </c>
    </row>
    <row r="43" spans="2:5" x14ac:dyDescent="0.2">
      <c r="B43">
        <v>2020</v>
      </c>
      <c r="C43" s="41">
        <v>35264086000</v>
      </c>
    </row>
    <row r="44" spans="2:5" x14ac:dyDescent="0.2">
      <c r="B44">
        <v>2021</v>
      </c>
      <c r="C44" s="41">
        <v>37123850000</v>
      </c>
    </row>
    <row r="45" spans="2:5" x14ac:dyDescent="0.2">
      <c r="B45">
        <v>2022</v>
      </c>
      <c r="C45" s="41">
        <v>36800000000</v>
      </c>
      <c r="E45" t="s">
        <v>163</v>
      </c>
    </row>
    <row r="46" spans="2:5" x14ac:dyDescent="0.2">
      <c r="E46" t="s">
        <v>164</v>
      </c>
    </row>
    <row r="47" spans="2:5" x14ac:dyDescent="0.2">
      <c r="B47" t="s">
        <v>168</v>
      </c>
      <c r="C47" s="20">
        <f>SUM(C36:C46)</f>
        <v>361173238000</v>
      </c>
      <c r="D47" s="24">
        <f>C47/1000000000</f>
        <v>361.17323800000003</v>
      </c>
    </row>
  </sheetData>
  <pageMargins left="0.7" right="0.7" top="0.75" bottom="0.75" header="0.3" footer="0.3"/>
  <pageSetup paperSize="9" orientation="portrait" horizontalDpi="0" verticalDpi="0"/>
  <ignoredErrors>
    <ignoredError sqref="C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Calc</vt:lpstr>
      <vt:lpstr>Chart Tables</vt:lpstr>
      <vt:lpstr>Forties Field</vt:lpstr>
      <vt:lpstr>2005 2022Compare</vt:lpstr>
      <vt:lpstr>2005</vt:lpstr>
      <vt:lpstr>Carbon Sinks</vt:lpstr>
      <vt:lpstr>Sinks&amp;CarbonEmissions</vt:lpstr>
      <vt:lpstr>Carbon Budgets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Wills</dc:creator>
  <cp:lastModifiedBy>Kevin Parker</cp:lastModifiedBy>
  <cp:lastPrinted>2023-03-18T13:02:00Z</cp:lastPrinted>
  <dcterms:created xsi:type="dcterms:W3CDTF">2022-11-25T12:49:51Z</dcterms:created>
  <dcterms:modified xsi:type="dcterms:W3CDTF">2023-12-11T22:00:51Z</dcterms:modified>
</cp:coreProperties>
</file>