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never"/>
  <mc:AlternateContent xmlns:mc="http://schemas.openxmlformats.org/markup-compatibility/2006">
    <mc:Choice Requires="x15">
      <x15ac:absPath xmlns:x15ac="http://schemas.microsoft.com/office/spreadsheetml/2010/11/ac" url="https://d.docs.live.net/4f69870b9ddc92b4/Desktop/"/>
    </mc:Choice>
  </mc:AlternateContent>
  <xr:revisionPtr revIDLastSave="240" documentId="8_{1B59E89B-B666-4C0B-A985-0ECB5F4039F0}" xr6:coauthVersionLast="47" xr6:coauthVersionMax="47" xr10:uidLastSave="{C335DCDB-18E9-4A28-BB33-E2A175D5591B}"/>
  <bookViews>
    <workbookView xWindow="-108" yWindow="-108" windowWidth="23256" windowHeight="13896" tabRatio="999" xr2:uid="{00000000-000D-0000-FFFF-FFFF00000000}"/>
  </bookViews>
  <sheets>
    <sheet name="SI Table 1" sheetId="8" r:id="rId1"/>
    <sheet name="SI Table 2" sheetId="14" r:id="rId2"/>
    <sheet name="SI Table 3" sheetId="7" r:id="rId3"/>
    <sheet name="SI Table 3.1" sheetId="2" r:id="rId4"/>
    <sheet name="SI Table 3.2" sheetId="3" r:id="rId5"/>
    <sheet name="SI Table 3.3" sheetId="4" r:id="rId6"/>
    <sheet name="SI Table 3.4" sheetId="5" r:id="rId7"/>
    <sheet name="SI Table 3.5" sheetId="6" r:id="rId8"/>
    <sheet name="SI Table 4" sheetId="12" r:id="rId9"/>
    <sheet name="SI Table 5" sheetId="11" r:id="rId10"/>
    <sheet name="SI Table 6" sheetId="15" r:id="rId11"/>
    <sheet name="SI Table 7" sheetId="16" r:id="rId12"/>
    <sheet name="SI Table 8" sheetId="18" r:id="rId13"/>
    <sheet name="SI Table 8.1" sheetId="19" r:id="rId14"/>
    <sheet name="SI Table 9" sheetId="20" r:id="rId15"/>
    <sheet name="SI Table 9.1" sheetId="21" r:id="rId16"/>
    <sheet name="SI Table 9.2" sheetId="22" r:id="rId17"/>
    <sheet name="SI Table 9.3" sheetId="23" r:id="rId18"/>
    <sheet name="SI Table 9.4" sheetId="24" r:id="rId19"/>
    <sheet name="SI Table 9.5" sheetId="25" r:id="rId20"/>
    <sheet name="SI Table 10" sheetId="17" r:id="rId21"/>
  </sheets>
  <externalReferences>
    <externalReference r:id="rId22"/>
    <externalReference r:id="rId23"/>
    <externalReference r:id="rId24"/>
  </externalReferences>
  <definedNames>
    <definedName name="__xlchart.v1.0" hidden="1">'SI Table 9'!$C$29:$C$44</definedName>
    <definedName name="__xlchart.v1.1" hidden="1">'SI Table 9'!$F$4</definedName>
    <definedName name="__xlchart.v1.10" hidden="1">'SI Table 9.1'!$J$4</definedName>
    <definedName name="__xlchart.v1.11" hidden="1">'SI Table 9.1'!$K$6:$K$21</definedName>
    <definedName name="__xlchart.v1.12" hidden="1">'SI Table 9.1'!$L$4</definedName>
    <definedName name="__xlchart.v1.13" hidden="1">'SI Table 9.1'!$M$6:$M$21</definedName>
    <definedName name="__xlchart.v1.14" hidden="1">'SI Table 9.1'!$N$4:$O$4</definedName>
    <definedName name="__xlchart.v1.15" hidden="1">'SI Table 9.1'!$O$6:$O$21</definedName>
    <definedName name="__xlchart.v1.16" hidden="1">'SI Table 9.2'!$C$29:$C$44</definedName>
    <definedName name="__xlchart.v1.17" hidden="1">'SI Table 9.2'!$N$4:$O$4</definedName>
    <definedName name="__xlchart.v1.18" hidden="1">'SI Table 9.2'!$O$6:$O$21</definedName>
    <definedName name="__xlchart.v1.2" hidden="1">'SI Table 9'!$G$6:$G$21</definedName>
    <definedName name="__xlchart.v1.3" hidden="1">'SI Table 9'!$N$4</definedName>
    <definedName name="__xlchart.v1.4" hidden="1">'SI Table 9'!$O$6:$O$21</definedName>
    <definedName name="__xlchart.v1.5" hidden="1">'SI Table 9.1'!$C$29:$C$44</definedName>
    <definedName name="__xlchart.v1.6" hidden="1">'SI Table 9.1'!$F$4</definedName>
    <definedName name="__xlchart.v1.7" hidden="1">'SI Table 9.1'!$G$6:$G$21</definedName>
    <definedName name="__xlchart.v1.8" hidden="1">'SI Table 9.1'!$H$4</definedName>
    <definedName name="__xlchart.v1.9" hidden="1">'SI Table 9.1'!$I$6:$I$21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5" l="1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B55" i="25"/>
  <c r="E55" i="25"/>
  <c r="D55" i="25"/>
  <c r="B54" i="25"/>
  <c r="E54" i="25"/>
  <c r="D54" i="25"/>
  <c r="B53" i="25"/>
  <c r="E53" i="25"/>
  <c r="D53" i="25"/>
  <c r="B52" i="25"/>
  <c r="E52" i="25"/>
  <c r="D52" i="25"/>
  <c r="B51" i="25"/>
  <c r="E51" i="25"/>
  <c r="D51" i="25"/>
  <c r="B50" i="25"/>
  <c r="E50" i="25"/>
  <c r="D50" i="25"/>
  <c r="B49" i="25"/>
  <c r="E49" i="25"/>
  <c r="D49" i="25"/>
  <c r="B48" i="25"/>
  <c r="E48" i="25"/>
  <c r="D48" i="25"/>
  <c r="B47" i="25"/>
  <c r="E47" i="25"/>
  <c r="D47" i="25"/>
  <c r="B46" i="25"/>
  <c r="E46" i="25"/>
  <c r="D46" i="25"/>
  <c r="B45" i="25"/>
  <c r="E45" i="25"/>
  <c r="D45" i="25"/>
  <c r="B44" i="25"/>
  <c r="E44" i="25"/>
  <c r="D44" i="25"/>
  <c r="B43" i="25"/>
  <c r="E43" i="25"/>
  <c r="D43" i="25"/>
  <c r="B42" i="25"/>
  <c r="E42" i="25"/>
  <c r="D42" i="25"/>
  <c r="B41" i="25"/>
  <c r="E41" i="25"/>
  <c r="D41" i="25"/>
  <c r="B40" i="25"/>
  <c r="E40" i="25"/>
  <c r="D40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C25" i="25"/>
  <c r="C24" i="25"/>
  <c r="C23" i="25"/>
  <c r="C22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M21" i="25"/>
  <c r="N21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K21" i="25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I21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G21" i="25"/>
  <c r="M20" i="25"/>
  <c r="N20" i="25"/>
  <c r="K20" i="25"/>
  <c r="I20" i="25"/>
  <c r="G20" i="25"/>
  <c r="M19" i="25"/>
  <c r="N19" i="25"/>
  <c r="K19" i="25"/>
  <c r="I19" i="25"/>
  <c r="G19" i="25"/>
  <c r="M18" i="25"/>
  <c r="N18" i="25"/>
  <c r="K18" i="25"/>
  <c r="I18" i="25"/>
  <c r="G18" i="25"/>
  <c r="M17" i="25"/>
  <c r="N17" i="25"/>
  <c r="K17" i="25"/>
  <c r="I17" i="25"/>
  <c r="G17" i="25"/>
  <c r="M16" i="25"/>
  <c r="N16" i="25"/>
  <c r="K16" i="25"/>
  <c r="I16" i="25"/>
  <c r="G16" i="25"/>
  <c r="D16" i="25"/>
  <c r="M15" i="25"/>
  <c r="N15" i="25"/>
  <c r="K15" i="25"/>
  <c r="I15" i="25"/>
  <c r="G15" i="25"/>
  <c r="D15" i="25"/>
  <c r="M14" i="25"/>
  <c r="N14" i="25"/>
  <c r="K14" i="25"/>
  <c r="I14" i="25"/>
  <c r="G14" i="25"/>
  <c r="D14" i="25"/>
  <c r="M13" i="25"/>
  <c r="N13" i="25"/>
  <c r="K13" i="25"/>
  <c r="I13" i="25"/>
  <c r="G13" i="25"/>
  <c r="D13" i="25"/>
  <c r="M12" i="25"/>
  <c r="N12" i="25"/>
  <c r="K12" i="25"/>
  <c r="I12" i="25"/>
  <c r="G12" i="25"/>
  <c r="D12" i="25"/>
  <c r="M11" i="25"/>
  <c r="N11" i="25"/>
  <c r="K11" i="25"/>
  <c r="I11" i="25"/>
  <c r="G11" i="25"/>
  <c r="D11" i="25"/>
  <c r="M10" i="25"/>
  <c r="N10" i="25"/>
  <c r="K10" i="25"/>
  <c r="I10" i="25"/>
  <c r="G10" i="25"/>
  <c r="D10" i="25"/>
  <c r="M9" i="25"/>
  <c r="N9" i="25"/>
  <c r="K9" i="25"/>
  <c r="I9" i="25"/>
  <c r="G9" i="25"/>
  <c r="D9" i="25"/>
  <c r="M8" i="25"/>
  <c r="N8" i="25"/>
  <c r="K8" i="25"/>
  <c r="I8" i="25"/>
  <c r="G8" i="25"/>
  <c r="D8" i="25"/>
  <c r="M7" i="25"/>
  <c r="N7" i="25"/>
  <c r="K7" i="25"/>
  <c r="I7" i="25"/>
  <c r="G7" i="25"/>
  <c r="D7" i="25"/>
  <c r="M6" i="25"/>
  <c r="N6" i="25"/>
  <c r="K6" i="25"/>
  <c r="I6" i="25"/>
  <c r="G6" i="25"/>
  <c r="D6" i="25"/>
  <c r="D5" i="25"/>
  <c r="D4" i="25"/>
  <c r="C68" i="24"/>
  <c r="C67" i="24"/>
  <c r="C66" i="24"/>
  <c r="C65" i="24"/>
  <c r="C64" i="24"/>
  <c r="C63" i="24"/>
  <c r="C62" i="24"/>
  <c r="C61" i="24"/>
  <c r="C60" i="24"/>
  <c r="C59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B55" i="24"/>
  <c r="E55" i="24"/>
  <c r="D55" i="24"/>
  <c r="B54" i="24"/>
  <c r="E54" i="24"/>
  <c r="D54" i="24"/>
  <c r="B53" i="24"/>
  <c r="E53" i="24"/>
  <c r="D53" i="24"/>
  <c r="B52" i="24"/>
  <c r="E52" i="24"/>
  <c r="D52" i="24"/>
  <c r="B51" i="24"/>
  <c r="E51" i="24"/>
  <c r="D51" i="24"/>
  <c r="B50" i="24"/>
  <c r="E50" i="24"/>
  <c r="D50" i="24"/>
  <c r="B49" i="24"/>
  <c r="E49" i="24"/>
  <c r="D49" i="24"/>
  <c r="B48" i="24"/>
  <c r="E48" i="24"/>
  <c r="D48" i="24"/>
  <c r="B47" i="24"/>
  <c r="E47" i="24"/>
  <c r="D47" i="24"/>
  <c r="B46" i="24"/>
  <c r="E46" i="24"/>
  <c r="D46" i="24"/>
  <c r="B45" i="24"/>
  <c r="E45" i="24"/>
  <c r="D45" i="24"/>
  <c r="B44" i="24"/>
  <c r="E44" i="24"/>
  <c r="D44" i="24"/>
  <c r="B43" i="24"/>
  <c r="E43" i="24"/>
  <c r="D43" i="24"/>
  <c r="B42" i="24"/>
  <c r="E42" i="24"/>
  <c r="D42" i="24"/>
  <c r="B41" i="24"/>
  <c r="E41" i="24"/>
  <c r="D41" i="24"/>
  <c r="B40" i="24"/>
  <c r="E40" i="24"/>
  <c r="D40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C25" i="24"/>
  <c r="C24" i="24"/>
  <c r="C23" i="24"/>
  <c r="C22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M21" i="24"/>
  <c r="N21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K21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I21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G21" i="24"/>
  <c r="M20" i="24"/>
  <c r="N20" i="24"/>
  <c r="K20" i="24"/>
  <c r="I20" i="24"/>
  <c r="G20" i="24"/>
  <c r="M19" i="24"/>
  <c r="N19" i="24"/>
  <c r="K19" i="24"/>
  <c r="I19" i="24"/>
  <c r="G19" i="24"/>
  <c r="M18" i="24"/>
  <c r="N18" i="24"/>
  <c r="K18" i="24"/>
  <c r="I18" i="24"/>
  <c r="G18" i="24"/>
  <c r="M17" i="24"/>
  <c r="N17" i="24"/>
  <c r="K17" i="24"/>
  <c r="I17" i="24"/>
  <c r="G17" i="24"/>
  <c r="M16" i="24"/>
  <c r="N16" i="24"/>
  <c r="K16" i="24"/>
  <c r="I16" i="24"/>
  <c r="G16" i="24"/>
  <c r="D16" i="24"/>
  <c r="M15" i="24"/>
  <c r="N15" i="24"/>
  <c r="K15" i="24"/>
  <c r="I15" i="24"/>
  <c r="G15" i="24"/>
  <c r="D15" i="24"/>
  <c r="M14" i="24"/>
  <c r="N14" i="24"/>
  <c r="K14" i="24"/>
  <c r="I14" i="24"/>
  <c r="G14" i="24"/>
  <c r="D14" i="24"/>
  <c r="M13" i="24"/>
  <c r="N13" i="24"/>
  <c r="K13" i="24"/>
  <c r="I13" i="24"/>
  <c r="G13" i="24"/>
  <c r="D13" i="24"/>
  <c r="M12" i="24"/>
  <c r="N12" i="24"/>
  <c r="K12" i="24"/>
  <c r="I12" i="24"/>
  <c r="G12" i="24"/>
  <c r="D12" i="24"/>
  <c r="M11" i="24"/>
  <c r="N11" i="24"/>
  <c r="K11" i="24"/>
  <c r="I11" i="24"/>
  <c r="G11" i="24"/>
  <c r="D11" i="24"/>
  <c r="M10" i="24"/>
  <c r="N10" i="24"/>
  <c r="K10" i="24"/>
  <c r="I10" i="24"/>
  <c r="G10" i="24"/>
  <c r="D10" i="24"/>
  <c r="M9" i="24"/>
  <c r="N9" i="24"/>
  <c r="K9" i="24"/>
  <c r="I9" i="24"/>
  <c r="G9" i="24"/>
  <c r="D9" i="24"/>
  <c r="M8" i="24"/>
  <c r="N8" i="24"/>
  <c r="K8" i="24"/>
  <c r="I8" i="24"/>
  <c r="G8" i="24"/>
  <c r="D8" i="24"/>
  <c r="M7" i="24"/>
  <c r="N7" i="24"/>
  <c r="K7" i="24"/>
  <c r="I7" i="24"/>
  <c r="G7" i="24"/>
  <c r="D7" i="24"/>
  <c r="M6" i="24"/>
  <c r="N6" i="24"/>
  <c r="K6" i="24"/>
  <c r="I6" i="24"/>
  <c r="G6" i="24"/>
  <c r="D6" i="24"/>
  <c r="D5" i="24"/>
  <c r="D4" i="24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B55" i="23"/>
  <c r="E55" i="23"/>
  <c r="D55" i="23"/>
  <c r="B54" i="23"/>
  <c r="E54" i="23"/>
  <c r="D54" i="23"/>
  <c r="B53" i="23"/>
  <c r="E53" i="23"/>
  <c r="D53" i="23"/>
  <c r="B52" i="23"/>
  <c r="E52" i="23"/>
  <c r="D52" i="23"/>
  <c r="B51" i="23"/>
  <c r="E51" i="23"/>
  <c r="D51" i="23"/>
  <c r="B50" i="23"/>
  <c r="E50" i="23"/>
  <c r="D50" i="23"/>
  <c r="B49" i="23"/>
  <c r="E49" i="23"/>
  <c r="D49" i="23"/>
  <c r="B48" i="23"/>
  <c r="E48" i="23"/>
  <c r="D48" i="23"/>
  <c r="B47" i="23"/>
  <c r="E47" i="23"/>
  <c r="D47" i="23"/>
  <c r="B46" i="23"/>
  <c r="E46" i="23"/>
  <c r="D46" i="23"/>
  <c r="B45" i="23"/>
  <c r="E45" i="23"/>
  <c r="D45" i="23"/>
  <c r="B44" i="23"/>
  <c r="E44" i="23"/>
  <c r="D44" i="23"/>
  <c r="B43" i="23"/>
  <c r="E43" i="23"/>
  <c r="D43" i="23"/>
  <c r="B42" i="23"/>
  <c r="E42" i="23"/>
  <c r="D42" i="23"/>
  <c r="B41" i="23"/>
  <c r="E41" i="23"/>
  <c r="D41" i="23"/>
  <c r="B40" i="23"/>
  <c r="E40" i="23"/>
  <c r="D40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C25" i="23"/>
  <c r="C24" i="23"/>
  <c r="C23" i="23"/>
  <c r="C22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M21" i="23"/>
  <c r="N21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K21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I21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G21" i="23"/>
  <c r="M20" i="23"/>
  <c r="N20" i="23"/>
  <c r="K20" i="23"/>
  <c r="I20" i="23"/>
  <c r="G20" i="23"/>
  <c r="M19" i="23"/>
  <c r="N19" i="23"/>
  <c r="K19" i="23"/>
  <c r="I19" i="23"/>
  <c r="G19" i="23"/>
  <c r="M18" i="23"/>
  <c r="N18" i="23"/>
  <c r="K18" i="23"/>
  <c r="I18" i="23"/>
  <c r="G18" i="23"/>
  <c r="M17" i="23"/>
  <c r="N17" i="23"/>
  <c r="K17" i="23"/>
  <c r="I17" i="23"/>
  <c r="G17" i="23"/>
  <c r="M16" i="23"/>
  <c r="N16" i="23"/>
  <c r="K16" i="23"/>
  <c r="I16" i="23"/>
  <c r="G16" i="23"/>
  <c r="D16" i="23"/>
  <c r="M15" i="23"/>
  <c r="N15" i="23"/>
  <c r="K15" i="23"/>
  <c r="I15" i="23"/>
  <c r="G15" i="23"/>
  <c r="D15" i="23"/>
  <c r="M14" i="23"/>
  <c r="N14" i="23"/>
  <c r="K14" i="23"/>
  <c r="I14" i="23"/>
  <c r="G14" i="23"/>
  <c r="D14" i="23"/>
  <c r="M13" i="23"/>
  <c r="N13" i="23"/>
  <c r="K13" i="23"/>
  <c r="I13" i="23"/>
  <c r="G13" i="23"/>
  <c r="D13" i="23"/>
  <c r="M12" i="23"/>
  <c r="N12" i="23"/>
  <c r="K12" i="23"/>
  <c r="I12" i="23"/>
  <c r="G12" i="23"/>
  <c r="D12" i="23"/>
  <c r="M11" i="23"/>
  <c r="N11" i="23"/>
  <c r="K11" i="23"/>
  <c r="I11" i="23"/>
  <c r="G11" i="23"/>
  <c r="D11" i="23"/>
  <c r="M10" i="23"/>
  <c r="N10" i="23"/>
  <c r="K10" i="23"/>
  <c r="I10" i="23"/>
  <c r="G10" i="23"/>
  <c r="D10" i="23"/>
  <c r="M9" i="23"/>
  <c r="N9" i="23"/>
  <c r="K9" i="23"/>
  <c r="I9" i="23"/>
  <c r="G9" i="23"/>
  <c r="D9" i="23"/>
  <c r="M8" i="23"/>
  <c r="N8" i="23"/>
  <c r="K8" i="23"/>
  <c r="I8" i="23"/>
  <c r="G8" i="23"/>
  <c r="D8" i="23"/>
  <c r="M7" i="23"/>
  <c r="N7" i="23"/>
  <c r="K7" i="23"/>
  <c r="I7" i="23"/>
  <c r="G7" i="23"/>
  <c r="D7" i="23"/>
  <c r="M6" i="23"/>
  <c r="N6" i="23"/>
  <c r="K6" i="23"/>
  <c r="I6" i="23"/>
  <c r="G6" i="23"/>
  <c r="D6" i="23"/>
  <c r="D5" i="23"/>
  <c r="D4" i="23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B44" i="22"/>
  <c r="E44" i="22"/>
  <c r="D44" i="22"/>
  <c r="B43" i="22"/>
  <c r="E43" i="22"/>
  <c r="D43" i="22"/>
  <c r="B42" i="22"/>
  <c r="E42" i="22"/>
  <c r="D42" i="22"/>
  <c r="B41" i="22"/>
  <c r="E41" i="22"/>
  <c r="D41" i="22"/>
  <c r="B40" i="22"/>
  <c r="E40" i="22"/>
  <c r="D40" i="22"/>
  <c r="B39" i="22"/>
  <c r="E39" i="22"/>
  <c r="D39" i="22"/>
  <c r="B38" i="22"/>
  <c r="E38" i="22"/>
  <c r="D38" i="22"/>
  <c r="B37" i="22"/>
  <c r="E37" i="22"/>
  <c r="D37" i="22"/>
  <c r="B36" i="22"/>
  <c r="E36" i="22"/>
  <c r="D36" i="22"/>
  <c r="B35" i="22"/>
  <c r="E35" i="22"/>
  <c r="D35" i="22"/>
  <c r="B34" i="22"/>
  <c r="E34" i="22"/>
  <c r="D34" i="22"/>
  <c r="B33" i="22"/>
  <c r="E33" i="22"/>
  <c r="D33" i="22"/>
  <c r="B32" i="22"/>
  <c r="E32" i="22"/>
  <c r="D32" i="22"/>
  <c r="B31" i="22"/>
  <c r="E31" i="22"/>
  <c r="D31" i="22"/>
  <c r="B30" i="22"/>
  <c r="E30" i="22"/>
  <c r="D30" i="22"/>
  <c r="B29" i="22"/>
  <c r="E29" i="22"/>
  <c r="D29" i="22"/>
  <c r="C25" i="22"/>
  <c r="C24" i="22"/>
  <c r="C23" i="22"/>
  <c r="C22" i="22"/>
  <c r="O21" i="22"/>
  <c r="M21" i="22"/>
  <c r="K21" i="22"/>
  <c r="I21" i="22"/>
  <c r="G21" i="22"/>
  <c r="O20" i="22"/>
  <c r="M20" i="22"/>
  <c r="K20" i="22"/>
  <c r="I20" i="22"/>
  <c r="G20" i="22"/>
  <c r="O19" i="22"/>
  <c r="M19" i="22"/>
  <c r="K19" i="22"/>
  <c r="I19" i="22"/>
  <c r="G19" i="22"/>
  <c r="O18" i="22"/>
  <c r="M18" i="22"/>
  <c r="K18" i="22"/>
  <c r="I18" i="22"/>
  <c r="G18" i="22"/>
  <c r="O17" i="22"/>
  <c r="M17" i="22"/>
  <c r="K17" i="22"/>
  <c r="I17" i="22"/>
  <c r="G17" i="22"/>
  <c r="O16" i="22"/>
  <c r="M16" i="22"/>
  <c r="K16" i="22"/>
  <c r="I16" i="22"/>
  <c r="G16" i="22"/>
  <c r="D16" i="22"/>
  <c r="O15" i="22"/>
  <c r="M15" i="22"/>
  <c r="K15" i="22"/>
  <c r="I15" i="22"/>
  <c r="G15" i="22"/>
  <c r="D15" i="22"/>
  <c r="O14" i="22"/>
  <c r="M14" i="22"/>
  <c r="K14" i="22"/>
  <c r="I14" i="22"/>
  <c r="G14" i="22"/>
  <c r="D14" i="22"/>
  <c r="O13" i="22"/>
  <c r="M13" i="22"/>
  <c r="K13" i="22"/>
  <c r="I13" i="22"/>
  <c r="G13" i="22"/>
  <c r="D13" i="22"/>
  <c r="O12" i="22"/>
  <c r="M12" i="22"/>
  <c r="K12" i="22"/>
  <c r="I12" i="22"/>
  <c r="G12" i="22"/>
  <c r="D12" i="22"/>
  <c r="O11" i="22"/>
  <c r="M11" i="22"/>
  <c r="K11" i="22"/>
  <c r="I11" i="22"/>
  <c r="G11" i="22"/>
  <c r="D11" i="22"/>
  <c r="O10" i="22"/>
  <c r="M10" i="22"/>
  <c r="K10" i="22"/>
  <c r="I10" i="22"/>
  <c r="G10" i="22"/>
  <c r="D10" i="22"/>
  <c r="O9" i="22"/>
  <c r="M9" i="22"/>
  <c r="K9" i="22"/>
  <c r="I9" i="22"/>
  <c r="G9" i="22"/>
  <c r="D9" i="22"/>
  <c r="O8" i="22"/>
  <c r="M8" i="22"/>
  <c r="K8" i="22"/>
  <c r="I8" i="22"/>
  <c r="G8" i="22"/>
  <c r="D8" i="22"/>
  <c r="O7" i="22"/>
  <c r="M7" i="22"/>
  <c r="K7" i="22"/>
  <c r="I7" i="22"/>
  <c r="G7" i="22"/>
  <c r="D7" i="22"/>
  <c r="O6" i="22"/>
  <c r="M6" i="22"/>
  <c r="K6" i="22"/>
  <c r="I6" i="22"/>
  <c r="G6" i="22"/>
  <c r="D6" i="22"/>
  <c r="D5" i="22"/>
  <c r="D4" i="22"/>
  <c r="C90" i="21"/>
  <c r="C89" i="21"/>
  <c r="C88" i="21"/>
  <c r="C87" i="21"/>
  <c r="C86" i="21"/>
  <c r="C85" i="21"/>
  <c r="C84" i="21"/>
  <c r="C83" i="21"/>
  <c r="C82" i="21"/>
  <c r="C81" i="21"/>
  <c r="C63" i="21"/>
  <c r="C64" i="21"/>
  <c r="C65" i="21"/>
  <c r="C66" i="21"/>
  <c r="C67" i="21"/>
  <c r="C68" i="21"/>
  <c r="C69" i="21"/>
  <c r="C70" i="21"/>
  <c r="C72" i="21"/>
  <c r="C73" i="21"/>
  <c r="C74" i="21"/>
  <c r="C75" i="21"/>
  <c r="C76" i="21"/>
  <c r="C77" i="21"/>
  <c r="C78" i="21"/>
  <c r="B78" i="21"/>
  <c r="E78" i="21"/>
  <c r="D78" i="21"/>
  <c r="B77" i="21"/>
  <c r="E77" i="21"/>
  <c r="D77" i="21"/>
  <c r="B76" i="21"/>
  <c r="E76" i="21"/>
  <c r="D76" i="21"/>
  <c r="B75" i="21"/>
  <c r="E75" i="21"/>
  <c r="D75" i="21"/>
  <c r="B74" i="21"/>
  <c r="E74" i="21"/>
  <c r="D74" i="21"/>
  <c r="B73" i="21"/>
  <c r="E73" i="21"/>
  <c r="D73" i="21"/>
  <c r="B72" i="21"/>
  <c r="E72" i="21"/>
  <c r="D72" i="21"/>
  <c r="B71" i="21"/>
  <c r="D71" i="21"/>
  <c r="B70" i="21"/>
  <c r="E70" i="21"/>
  <c r="D70" i="21"/>
  <c r="B69" i="21"/>
  <c r="E69" i="21"/>
  <c r="D69" i="21"/>
  <c r="B68" i="21"/>
  <c r="E68" i="21"/>
  <c r="D68" i="21"/>
  <c r="B67" i="21"/>
  <c r="E67" i="21"/>
  <c r="D67" i="21"/>
  <c r="B66" i="21"/>
  <c r="E66" i="21"/>
  <c r="D66" i="21"/>
  <c r="B65" i="21"/>
  <c r="E65" i="21"/>
  <c r="D65" i="21"/>
  <c r="B64" i="21"/>
  <c r="E64" i="21"/>
  <c r="D64" i="21"/>
  <c r="B63" i="21"/>
  <c r="E63" i="21"/>
  <c r="D63" i="21"/>
  <c r="B62" i="21"/>
  <c r="E62" i="21"/>
  <c r="D62" i="21"/>
  <c r="C56" i="21"/>
  <c r="C55" i="21"/>
  <c r="C54" i="21"/>
  <c r="C53" i="21"/>
  <c r="C52" i="21"/>
  <c r="C51" i="21"/>
  <c r="C50" i="21"/>
  <c r="C49" i="21"/>
  <c r="C48" i="21"/>
  <c r="C47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B44" i="21"/>
  <c r="E44" i="21"/>
  <c r="D44" i="21"/>
  <c r="B43" i="21"/>
  <c r="E43" i="21"/>
  <c r="D43" i="21"/>
  <c r="B42" i="21"/>
  <c r="E42" i="21"/>
  <c r="D42" i="21"/>
  <c r="B41" i="21"/>
  <c r="E41" i="21"/>
  <c r="D41" i="21"/>
  <c r="B40" i="21"/>
  <c r="E40" i="21"/>
  <c r="D40" i="21"/>
  <c r="B39" i="21"/>
  <c r="E39" i="21"/>
  <c r="D39" i="21"/>
  <c r="B38" i="21"/>
  <c r="E38" i="21"/>
  <c r="D38" i="21"/>
  <c r="B37" i="21"/>
  <c r="E37" i="21"/>
  <c r="D37" i="21"/>
  <c r="B36" i="21"/>
  <c r="E36" i="21"/>
  <c r="D36" i="21"/>
  <c r="B35" i="21"/>
  <c r="E35" i="21"/>
  <c r="D35" i="21"/>
  <c r="B34" i="21"/>
  <c r="E34" i="21"/>
  <c r="D34" i="21"/>
  <c r="B33" i="21"/>
  <c r="E33" i="21"/>
  <c r="D33" i="21"/>
  <c r="B32" i="21"/>
  <c r="E32" i="21"/>
  <c r="D32" i="21"/>
  <c r="B31" i="21"/>
  <c r="E31" i="21"/>
  <c r="D31" i="21"/>
  <c r="B30" i="21"/>
  <c r="E30" i="21"/>
  <c r="D30" i="21"/>
  <c r="B29" i="21"/>
  <c r="E29" i="21"/>
  <c r="D29" i="21"/>
  <c r="C25" i="21"/>
  <c r="C24" i="21"/>
  <c r="C23" i="21"/>
  <c r="C22" i="21"/>
  <c r="O21" i="21"/>
  <c r="M21" i="21"/>
  <c r="K21" i="21"/>
  <c r="I21" i="21"/>
  <c r="G21" i="21"/>
  <c r="O20" i="21"/>
  <c r="M20" i="21"/>
  <c r="K20" i="21"/>
  <c r="I20" i="21"/>
  <c r="G20" i="21"/>
  <c r="O19" i="21"/>
  <c r="M19" i="21"/>
  <c r="K19" i="21"/>
  <c r="I19" i="21"/>
  <c r="G19" i="21"/>
  <c r="O18" i="21"/>
  <c r="M18" i="21"/>
  <c r="K18" i="21"/>
  <c r="I18" i="21"/>
  <c r="G18" i="21"/>
  <c r="O17" i="21"/>
  <c r="M17" i="21"/>
  <c r="K17" i="21"/>
  <c r="I17" i="21"/>
  <c r="G17" i="21"/>
  <c r="O16" i="21"/>
  <c r="M16" i="21"/>
  <c r="K16" i="21"/>
  <c r="I16" i="21"/>
  <c r="G16" i="21"/>
  <c r="D16" i="21"/>
  <c r="O15" i="21"/>
  <c r="M15" i="21"/>
  <c r="K15" i="21"/>
  <c r="I15" i="21"/>
  <c r="G15" i="21"/>
  <c r="D15" i="21"/>
  <c r="O14" i="21"/>
  <c r="M14" i="21"/>
  <c r="K14" i="21"/>
  <c r="I14" i="21"/>
  <c r="G14" i="21"/>
  <c r="D14" i="21"/>
  <c r="O13" i="21"/>
  <c r="M13" i="21"/>
  <c r="K13" i="21"/>
  <c r="I13" i="21"/>
  <c r="G13" i="21"/>
  <c r="D13" i="21"/>
  <c r="O12" i="21"/>
  <c r="M12" i="21"/>
  <c r="K12" i="21"/>
  <c r="I12" i="21"/>
  <c r="G12" i="21"/>
  <c r="D12" i="21"/>
  <c r="O11" i="21"/>
  <c r="M11" i="21"/>
  <c r="K11" i="21"/>
  <c r="I11" i="21"/>
  <c r="G11" i="21"/>
  <c r="D11" i="21"/>
  <c r="O10" i="21"/>
  <c r="M10" i="21"/>
  <c r="K10" i="21"/>
  <c r="I10" i="21"/>
  <c r="G10" i="21"/>
  <c r="D10" i="21"/>
  <c r="O9" i="21"/>
  <c r="M9" i="21"/>
  <c r="K9" i="21"/>
  <c r="I9" i="21"/>
  <c r="G9" i="21"/>
  <c r="D9" i="21"/>
  <c r="O8" i="21"/>
  <c r="M8" i="21"/>
  <c r="K8" i="21"/>
  <c r="I8" i="21"/>
  <c r="G8" i="21"/>
  <c r="D8" i="21"/>
  <c r="O7" i="21"/>
  <c r="M7" i="21"/>
  <c r="K7" i="21"/>
  <c r="I7" i="21"/>
  <c r="G7" i="21"/>
  <c r="D7" i="21"/>
  <c r="O6" i="21"/>
  <c r="M6" i="21"/>
  <c r="K6" i="21"/>
  <c r="I6" i="21"/>
  <c r="G6" i="21"/>
  <c r="D6" i="21"/>
  <c r="D5" i="21"/>
  <c r="D4" i="21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B44" i="20"/>
  <c r="E44" i="20"/>
  <c r="D44" i="20"/>
  <c r="B43" i="20"/>
  <c r="E43" i="20"/>
  <c r="D43" i="20"/>
  <c r="B42" i="20"/>
  <c r="E42" i="20"/>
  <c r="D42" i="20"/>
  <c r="B41" i="20"/>
  <c r="E41" i="20"/>
  <c r="D41" i="20"/>
  <c r="B40" i="20"/>
  <c r="E40" i="20"/>
  <c r="D40" i="20"/>
  <c r="B39" i="20"/>
  <c r="E39" i="20"/>
  <c r="D39" i="20"/>
  <c r="B38" i="20"/>
  <c r="E38" i="20"/>
  <c r="D38" i="20"/>
  <c r="B37" i="20"/>
  <c r="E37" i="20"/>
  <c r="D37" i="20"/>
  <c r="B36" i="20"/>
  <c r="E36" i="20"/>
  <c r="D36" i="20"/>
  <c r="B35" i="20"/>
  <c r="E35" i="20"/>
  <c r="D35" i="20"/>
  <c r="B34" i="20"/>
  <c r="E34" i="20"/>
  <c r="D34" i="20"/>
  <c r="B33" i="20"/>
  <c r="E33" i="20"/>
  <c r="D33" i="20"/>
  <c r="B32" i="20"/>
  <c r="E32" i="20"/>
  <c r="D32" i="20"/>
  <c r="B31" i="20"/>
  <c r="E31" i="20"/>
  <c r="D31" i="20"/>
  <c r="B30" i="20"/>
  <c r="E30" i="20"/>
  <c r="D30" i="20"/>
  <c r="B29" i="20"/>
  <c r="E29" i="20"/>
  <c r="D29" i="20"/>
  <c r="C25" i="20"/>
  <c r="C24" i="20"/>
  <c r="C23" i="20"/>
  <c r="C22" i="20"/>
  <c r="O21" i="20"/>
  <c r="M21" i="20"/>
  <c r="K21" i="20"/>
  <c r="I21" i="20"/>
  <c r="G21" i="20"/>
  <c r="C21" i="20"/>
  <c r="O20" i="20"/>
  <c r="M20" i="20"/>
  <c r="K20" i="20"/>
  <c r="I20" i="20"/>
  <c r="G20" i="20"/>
  <c r="O19" i="20"/>
  <c r="M19" i="20"/>
  <c r="K19" i="20"/>
  <c r="I19" i="20"/>
  <c r="G19" i="20"/>
  <c r="O18" i="20"/>
  <c r="M18" i="20"/>
  <c r="K18" i="20"/>
  <c r="I18" i="20"/>
  <c r="G18" i="20"/>
  <c r="O17" i="20"/>
  <c r="M17" i="20"/>
  <c r="K17" i="20"/>
  <c r="I17" i="20"/>
  <c r="G17" i="20"/>
  <c r="O16" i="20"/>
  <c r="M16" i="20"/>
  <c r="K16" i="20"/>
  <c r="I16" i="20"/>
  <c r="G16" i="20"/>
  <c r="D16" i="20"/>
  <c r="O15" i="20"/>
  <c r="M15" i="20"/>
  <c r="K15" i="20"/>
  <c r="I15" i="20"/>
  <c r="G15" i="20"/>
  <c r="D15" i="20"/>
  <c r="O14" i="20"/>
  <c r="M14" i="20"/>
  <c r="K14" i="20"/>
  <c r="I14" i="20"/>
  <c r="G14" i="20"/>
  <c r="D14" i="20"/>
  <c r="O13" i="20"/>
  <c r="M13" i="20"/>
  <c r="K13" i="20"/>
  <c r="I13" i="20"/>
  <c r="G13" i="20"/>
  <c r="D13" i="20"/>
  <c r="O12" i="20"/>
  <c r="M12" i="20"/>
  <c r="K12" i="20"/>
  <c r="I12" i="20"/>
  <c r="G12" i="20"/>
  <c r="D12" i="20"/>
  <c r="O11" i="20"/>
  <c r="M11" i="20"/>
  <c r="K11" i="20"/>
  <c r="I11" i="20"/>
  <c r="G11" i="20"/>
  <c r="D11" i="20"/>
  <c r="O10" i="20"/>
  <c r="M10" i="20"/>
  <c r="K10" i="20"/>
  <c r="I10" i="20"/>
  <c r="G10" i="20"/>
  <c r="D10" i="20"/>
  <c r="O9" i="20"/>
  <c r="M9" i="20"/>
  <c r="K9" i="20"/>
  <c r="I9" i="20"/>
  <c r="G9" i="20"/>
  <c r="D9" i="20"/>
  <c r="O8" i="20"/>
  <c r="M8" i="20"/>
  <c r="K8" i="20"/>
  <c r="I8" i="20"/>
  <c r="G8" i="20"/>
  <c r="D8" i="20"/>
  <c r="O7" i="20"/>
  <c r="M7" i="20"/>
  <c r="K7" i="20"/>
  <c r="I7" i="20"/>
  <c r="G7" i="20"/>
  <c r="D7" i="20"/>
  <c r="O6" i="20"/>
  <c r="M6" i="20"/>
  <c r="K6" i="20"/>
  <c r="I6" i="20"/>
  <c r="G6" i="20"/>
  <c r="D6" i="20"/>
  <c r="D5" i="20"/>
  <c r="D4" i="20"/>
  <c r="F11" i="17"/>
  <c r="B11" i="17"/>
  <c r="J19" i="17"/>
  <c r="I19" i="17"/>
  <c r="H19" i="17"/>
  <c r="G19" i="17"/>
  <c r="F19" i="17"/>
  <c r="B19" i="17"/>
  <c r="C19" i="17"/>
  <c r="D19" i="17"/>
  <c r="E19" i="17"/>
  <c r="F18" i="17"/>
  <c r="E18" i="17"/>
  <c r="D18" i="17"/>
  <c r="C18" i="17"/>
  <c r="B18" i="17"/>
  <c r="G13" i="17"/>
  <c r="D12" i="17"/>
  <c r="E12" i="17"/>
  <c r="F12" i="17"/>
  <c r="G12" i="17"/>
  <c r="H12" i="17"/>
  <c r="I12" i="17"/>
  <c r="J12" i="17"/>
  <c r="C12" i="17"/>
  <c r="B12" i="17"/>
  <c r="C11" i="17"/>
  <c r="D11" i="17"/>
  <c r="E11" i="17"/>
  <c r="J15" i="17"/>
  <c r="J17" i="17"/>
  <c r="J14" i="17"/>
  <c r="J16" i="17"/>
  <c r="I15" i="17"/>
  <c r="I17" i="17"/>
  <c r="I14" i="17"/>
  <c r="I16" i="17"/>
  <c r="H15" i="17"/>
  <c r="H14" i="17"/>
  <c r="F15" i="17"/>
  <c r="F17" i="17"/>
  <c r="F14" i="17"/>
  <c r="E15" i="17"/>
  <c r="E14" i="17"/>
  <c r="D15" i="17"/>
  <c r="D14" i="17"/>
  <c r="C15" i="17"/>
  <c r="C14" i="17"/>
  <c r="B14" i="17"/>
  <c r="B16" i="17"/>
  <c r="J11" i="17"/>
  <c r="I11" i="17"/>
  <c r="H11" i="17"/>
  <c r="B13" i="17"/>
  <c r="G11" i="17"/>
  <c r="G15" i="17"/>
  <c r="G17" i="17"/>
  <c r="H17" i="17"/>
  <c r="B15" i="17"/>
  <c r="G14" i="17"/>
  <c r="G16" i="17"/>
  <c r="H16" i="17"/>
  <c r="C13" i="15"/>
  <c r="F12" i="16"/>
  <c r="F13" i="16"/>
  <c r="F14" i="16"/>
  <c r="F15" i="16"/>
  <c r="F16" i="16"/>
  <c r="F17" i="16"/>
  <c r="F18" i="16"/>
  <c r="F19" i="16"/>
  <c r="F20" i="16"/>
  <c r="F21" i="16"/>
  <c r="F22" i="16"/>
  <c r="F23" i="16"/>
  <c r="F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11" i="16"/>
  <c r="C5" i="15"/>
  <c r="C12" i="16"/>
  <c r="C13" i="16"/>
  <c r="C14" i="16"/>
  <c r="C15" i="16"/>
  <c r="C16" i="16"/>
  <c r="C17" i="16"/>
  <c r="C18" i="16"/>
  <c r="C19" i="16"/>
  <c r="C20" i="16"/>
  <c r="C21" i="16"/>
  <c r="C22" i="16"/>
  <c r="C23" i="16"/>
  <c r="C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11" i="16"/>
  <c r="C4" i="15"/>
  <c r="F16" i="17"/>
  <c r="G18" i="17"/>
  <c r="B17" i="17"/>
  <c r="J18" i="17"/>
  <c r="I18" i="17"/>
  <c r="H18" i="17"/>
  <c r="E16" i="17"/>
  <c r="D16" i="17"/>
  <c r="C16" i="17"/>
  <c r="E17" i="17"/>
  <c r="D17" i="17"/>
  <c r="C17" i="17"/>
  <c r="C3" i="11"/>
  <c r="E13" i="12"/>
  <c r="C13" i="12"/>
  <c r="H20" i="11"/>
  <c r="B21" i="14"/>
  <c r="H10" i="15"/>
  <c r="B30" i="15"/>
  <c r="D7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F20" i="11"/>
  <c r="I20" i="11"/>
  <c r="J20" i="11"/>
  <c r="D20" i="11"/>
  <c r="B4" i="15"/>
  <c r="B5" i="15"/>
  <c r="E4" i="15"/>
  <c r="D4" i="15"/>
  <c r="B6" i="15"/>
  <c r="C8" i="15"/>
  <c r="D6" i="15"/>
  <c r="C6" i="15"/>
  <c r="C7" i="15"/>
  <c r="E16" i="15"/>
  <c r="B9" i="15"/>
  <c r="B8" i="15"/>
  <c r="E15" i="15"/>
  <c r="B7" i="15"/>
  <c r="D16" i="15"/>
  <c r="D14" i="15"/>
  <c r="C15" i="15"/>
  <c r="C14" i="15"/>
  <c r="E9" i="15"/>
  <c r="B13" i="15"/>
  <c r="E8" i="15"/>
  <c r="B12" i="15"/>
  <c r="C11" i="15"/>
  <c r="D9" i="15"/>
  <c r="E7" i="15"/>
  <c r="E13" i="15"/>
  <c r="C16" i="15"/>
  <c r="E11" i="15"/>
  <c r="D12" i="15"/>
  <c r="D10" i="15"/>
  <c r="B11" i="15"/>
  <c r="C10" i="15"/>
  <c r="D8" i="15"/>
  <c r="E6" i="15"/>
  <c r="E14" i="15"/>
  <c r="D15" i="15"/>
  <c r="E12" i="15"/>
  <c r="B16" i="15"/>
  <c r="D13" i="15"/>
  <c r="B15" i="15"/>
  <c r="E10" i="15"/>
  <c r="B14" i="15"/>
  <c r="D11" i="15"/>
  <c r="C12" i="15"/>
  <c r="B10" i="15"/>
  <c r="C9" i="15"/>
  <c r="D5" i="15"/>
  <c r="E5" i="15"/>
  <c r="AL36" i="14"/>
  <c r="AL116" i="14"/>
  <c r="AK36" i="14"/>
  <c r="AK116" i="14"/>
  <c r="AJ36" i="14"/>
  <c r="AJ116" i="14"/>
  <c r="AI36" i="14"/>
  <c r="AI116" i="14"/>
  <c r="AH36" i="14"/>
  <c r="AH116" i="14"/>
  <c r="AG36" i="14"/>
  <c r="AG116" i="14"/>
  <c r="AF36" i="14"/>
  <c r="AF116" i="14"/>
  <c r="AE36" i="14"/>
  <c r="AE116" i="14"/>
  <c r="AD36" i="14"/>
  <c r="AD116" i="14"/>
  <c r="AC36" i="14"/>
  <c r="AC116" i="14"/>
  <c r="AB36" i="14"/>
  <c r="AB116" i="14"/>
  <c r="AA36" i="14"/>
  <c r="AA116" i="14"/>
  <c r="Z36" i="14"/>
  <c r="Z116" i="14"/>
  <c r="Y36" i="14"/>
  <c r="Y116" i="14"/>
  <c r="X36" i="14"/>
  <c r="X116" i="14"/>
  <c r="W36" i="14"/>
  <c r="W116" i="14"/>
  <c r="V36" i="14"/>
  <c r="V116" i="14"/>
  <c r="U36" i="14"/>
  <c r="U116" i="14"/>
  <c r="T36" i="14"/>
  <c r="T116" i="14"/>
  <c r="S36" i="14"/>
  <c r="S116" i="14"/>
  <c r="R36" i="14"/>
  <c r="R116" i="14"/>
  <c r="Q36" i="14"/>
  <c r="Q116" i="14"/>
  <c r="P36" i="14"/>
  <c r="P116" i="14"/>
  <c r="O36" i="14"/>
  <c r="O116" i="14"/>
  <c r="N36" i="14"/>
  <c r="N116" i="14"/>
  <c r="M36" i="14"/>
  <c r="M116" i="14"/>
  <c r="L36" i="14"/>
  <c r="L116" i="14"/>
  <c r="K36" i="14"/>
  <c r="K116" i="14"/>
  <c r="J36" i="14"/>
  <c r="J116" i="14"/>
  <c r="I36" i="14"/>
  <c r="I116" i="14"/>
  <c r="H36" i="14"/>
  <c r="H116" i="14"/>
  <c r="G36" i="14"/>
  <c r="G116" i="14"/>
  <c r="F36" i="14"/>
  <c r="F116" i="14"/>
  <c r="E36" i="14"/>
  <c r="E116" i="14"/>
  <c r="D36" i="14"/>
  <c r="D116" i="14"/>
  <c r="C36" i="14"/>
  <c r="C116" i="14"/>
  <c r="B36" i="14"/>
  <c r="B116" i="14"/>
  <c r="AL35" i="14"/>
  <c r="AL115" i="14"/>
  <c r="AK35" i="14"/>
  <c r="AK115" i="14"/>
  <c r="AJ35" i="14"/>
  <c r="AJ115" i="14"/>
  <c r="AI35" i="14"/>
  <c r="AI115" i="14"/>
  <c r="AH35" i="14"/>
  <c r="AH115" i="14"/>
  <c r="AG35" i="14"/>
  <c r="AG115" i="14"/>
  <c r="AF35" i="14"/>
  <c r="AF115" i="14"/>
  <c r="AE35" i="14"/>
  <c r="AE115" i="14"/>
  <c r="AD35" i="14"/>
  <c r="AD115" i="14"/>
  <c r="AA35" i="14"/>
  <c r="AA115" i="14"/>
  <c r="Z35" i="14"/>
  <c r="Z115" i="14"/>
  <c r="Y35" i="14"/>
  <c r="Y115" i="14"/>
  <c r="X35" i="14"/>
  <c r="X115" i="14"/>
  <c r="W35" i="14"/>
  <c r="W115" i="14"/>
  <c r="V35" i="14"/>
  <c r="V115" i="14"/>
  <c r="U35" i="14"/>
  <c r="U115" i="14"/>
  <c r="T35" i="14"/>
  <c r="T115" i="14"/>
  <c r="S35" i="14"/>
  <c r="S115" i="14"/>
  <c r="R35" i="14"/>
  <c r="R115" i="14"/>
  <c r="O35" i="14"/>
  <c r="O115" i="14"/>
  <c r="N35" i="14"/>
  <c r="N115" i="14"/>
  <c r="M35" i="14"/>
  <c r="M115" i="14"/>
  <c r="L35" i="14"/>
  <c r="L115" i="14"/>
  <c r="K35" i="14"/>
  <c r="K115" i="14"/>
  <c r="J35" i="14"/>
  <c r="J115" i="14"/>
  <c r="I35" i="14"/>
  <c r="I115" i="14"/>
  <c r="H35" i="14"/>
  <c r="H115" i="14"/>
  <c r="G35" i="14"/>
  <c r="G115" i="14"/>
  <c r="F35" i="14"/>
  <c r="F115" i="14"/>
  <c r="C35" i="14"/>
  <c r="C115" i="14"/>
  <c r="B35" i="14"/>
  <c r="B115" i="14"/>
  <c r="AL34" i="14"/>
  <c r="AL114" i="14"/>
  <c r="AK34" i="14"/>
  <c r="AK114" i="14"/>
  <c r="AJ34" i="14"/>
  <c r="AJ114" i="14"/>
  <c r="AI34" i="14"/>
  <c r="AI114" i="14"/>
  <c r="AH34" i="14"/>
  <c r="AH114" i="14"/>
  <c r="AG34" i="14"/>
  <c r="AG114" i="14"/>
  <c r="AF34" i="14"/>
  <c r="AF114" i="14"/>
  <c r="AE34" i="14"/>
  <c r="AE114" i="14"/>
  <c r="AD34" i="14"/>
  <c r="AD114" i="14"/>
  <c r="AC34" i="14"/>
  <c r="AC114" i="14"/>
  <c r="AB34" i="14"/>
  <c r="AB114" i="14"/>
  <c r="AA34" i="14"/>
  <c r="AA114" i="14"/>
  <c r="Z34" i="14"/>
  <c r="Z114" i="14"/>
  <c r="Y34" i="14"/>
  <c r="Y114" i="14"/>
  <c r="X34" i="14"/>
  <c r="X114" i="14"/>
  <c r="W34" i="14"/>
  <c r="W114" i="14"/>
  <c r="V34" i="14"/>
  <c r="V114" i="14"/>
  <c r="U34" i="14"/>
  <c r="U114" i="14"/>
  <c r="T34" i="14"/>
  <c r="T114" i="14"/>
  <c r="S34" i="14"/>
  <c r="S114" i="14"/>
  <c r="R34" i="14"/>
  <c r="R114" i="14"/>
  <c r="Q34" i="14"/>
  <c r="Q114" i="14"/>
  <c r="P34" i="14"/>
  <c r="P114" i="14"/>
  <c r="O34" i="14"/>
  <c r="O114" i="14"/>
  <c r="N34" i="14"/>
  <c r="N114" i="14"/>
  <c r="M34" i="14"/>
  <c r="M114" i="14"/>
  <c r="L34" i="14"/>
  <c r="L114" i="14"/>
  <c r="K34" i="14"/>
  <c r="K114" i="14"/>
  <c r="J34" i="14"/>
  <c r="J114" i="14"/>
  <c r="I34" i="14"/>
  <c r="I114" i="14"/>
  <c r="H34" i="14"/>
  <c r="H114" i="14"/>
  <c r="G34" i="14"/>
  <c r="G114" i="14"/>
  <c r="F34" i="14"/>
  <c r="F114" i="14"/>
  <c r="E34" i="14"/>
  <c r="E114" i="14"/>
  <c r="D34" i="14"/>
  <c r="D114" i="14"/>
  <c r="C34" i="14"/>
  <c r="C114" i="14"/>
  <c r="B34" i="14"/>
  <c r="B114" i="14"/>
  <c r="AL33" i="14"/>
  <c r="AL113" i="14"/>
  <c r="AK33" i="14"/>
  <c r="AK113" i="14"/>
  <c r="AJ33" i="14"/>
  <c r="AJ113" i="14"/>
  <c r="AI33" i="14"/>
  <c r="AI113" i="14"/>
  <c r="AH33" i="14"/>
  <c r="AH113" i="14"/>
  <c r="AG33" i="14"/>
  <c r="AG113" i="14"/>
  <c r="AF33" i="14"/>
  <c r="AF113" i="14"/>
  <c r="AE33" i="14"/>
  <c r="AE113" i="14"/>
  <c r="AD33" i="14"/>
  <c r="AD113" i="14"/>
  <c r="AC33" i="14"/>
  <c r="AC113" i="14"/>
  <c r="AB33" i="14"/>
  <c r="AB113" i="14"/>
  <c r="AA33" i="14"/>
  <c r="AA113" i="14"/>
  <c r="Z33" i="14"/>
  <c r="Z113" i="14"/>
  <c r="Y33" i="14"/>
  <c r="Y113" i="14"/>
  <c r="X33" i="14"/>
  <c r="X113" i="14"/>
  <c r="W33" i="14"/>
  <c r="W113" i="14"/>
  <c r="V33" i="14"/>
  <c r="V113" i="14"/>
  <c r="U33" i="14"/>
  <c r="U113" i="14"/>
  <c r="T33" i="14"/>
  <c r="T113" i="14"/>
  <c r="S33" i="14"/>
  <c r="S113" i="14"/>
  <c r="R33" i="14"/>
  <c r="R113" i="14"/>
  <c r="Q33" i="14"/>
  <c r="Q113" i="14"/>
  <c r="P33" i="14"/>
  <c r="P113" i="14"/>
  <c r="O33" i="14"/>
  <c r="O113" i="14"/>
  <c r="N33" i="14"/>
  <c r="N113" i="14"/>
  <c r="M33" i="14"/>
  <c r="M113" i="14"/>
  <c r="L33" i="14"/>
  <c r="L113" i="14"/>
  <c r="K33" i="14"/>
  <c r="K113" i="14"/>
  <c r="J33" i="14"/>
  <c r="J113" i="14"/>
  <c r="I33" i="14"/>
  <c r="I113" i="14"/>
  <c r="H33" i="14"/>
  <c r="H113" i="14"/>
  <c r="G33" i="14"/>
  <c r="G113" i="14"/>
  <c r="F33" i="14"/>
  <c r="F113" i="14"/>
  <c r="E33" i="14"/>
  <c r="E113" i="14"/>
  <c r="D33" i="14"/>
  <c r="D113" i="14"/>
  <c r="C33" i="14"/>
  <c r="C113" i="14"/>
  <c r="B33" i="14"/>
  <c r="B113" i="14"/>
  <c r="AL32" i="14"/>
  <c r="AL112" i="14"/>
  <c r="AK32" i="14"/>
  <c r="AK112" i="14"/>
  <c r="AJ32" i="14"/>
  <c r="AJ112" i="14"/>
  <c r="AI32" i="14"/>
  <c r="AI112" i="14"/>
  <c r="AH32" i="14"/>
  <c r="AH112" i="14"/>
  <c r="AG32" i="14"/>
  <c r="AG112" i="14"/>
  <c r="AF32" i="14"/>
  <c r="AF112" i="14"/>
  <c r="AE32" i="14"/>
  <c r="AE112" i="14"/>
  <c r="AD32" i="14"/>
  <c r="AD112" i="14"/>
  <c r="AC32" i="14"/>
  <c r="AC112" i="14"/>
  <c r="AB32" i="14"/>
  <c r="AB112" i="14"/>
  <c r="AA32" i="14"/>
  <c r="AA112" i="14"/>
  <c r="Z32" i="14"/>
  <c r="Z112" i="14"/>
  <c r="Y32" i="14"/>
  <c r="Y112" i="14"/>
  <c r="X32" i="14"/>
  <c r="X112" i="14"/>
  <c r="W32" i="14"/>
  <c r="W112" i="14"/>
  <c r="V32" i="14"/>
  <c r="V112" i="14"/>
  <c r="U32" i="14"/>
  <c r="U112" i="14"/>
  <c r="T32" i="14"/>
  <c r="T112" i="14"/>
  <c r="S32" i="14"/>
  <c r="S112" i="14"/>
  <c r="R32" i="14"/>
  <c r="R112" i="14"/>
  <c r="Q32" i="14"/>
  <c r="Q112" i="14"/>
  <c r="P32" i="14"/>
  <c r="P112" i="14"/>
  <c r="O32" i="14"/>
  <c r="O112" i="14"/>
  <c r="N32" i="14"/>
  <c r="N112" i="14"/>
  <c r="M32" i="14"/>
  <c r="M112" i="14"/>
  <c r="L32" i="14"/>
  <c r="L112" i="14"/>
  <c r="K32" i="14"/>
  <c r="K112" i="14"/>
  <c r="J32" i="14"/>
  <c r="J112" i="14"/>
  <c r="I32" i="14"/>
  <c r="I112" i="14"/>
  <c r="H32" i="14"/>
  <c r="H112" i="14"/>
  <c r="G32" i="14"/>
  <c r="G112" i="14"/>
  <c r="F32" i="14"/>
  <c r="F112" i="14"/>
  <c r="E32" i="14"/>
  <c r="E112" i="14"/>
  <c r="D32" i="14"/>
  <c r="D112" i="14"/>
  <c r="C32" i="14"/>
  <c r="C112" i="14"/>
  <c r="B32" i="14"/>
  <c r="B112" i="14"/>
  <c r="AL31" i="14"/>
  <c r="AL111" i="14"/>
  <c r="AK31" i="14"/>
  <c r="AK111" i="14"/>
  <c r="AJ31" i="14"/>
  <c r="AJ111" i="14"/>
  <c r="AI31" i="14"/>
  <c r="AI111" i="14"/>
  <c r="AH31" i="14"/>
  <c r="AH111" i="14"/>
  <c r="AG31" i="14"/>
  <c r="AG111" i="14"/>
  <c r="AF31" i="14"/>
  <c r="AF111" i="14"/>
  <c r="AE31" i="14"/>
  <c r="AE111" i="14"/>
  <c r="AD31" i="14"/>
  <c r="AD111" i="14"/>
  <c r="AC31" i="14"/>
  <c r="AC111" i="14"/>
  <c r="AB31" i="14"/>
  <c r="AB111" i="14"/>
  <c r="AA31" i="14"/>
  <c r="AA111" i="14"/>
  <c r="Z31" i="14"/>
  <c r="Z111" i="14"/>
  <c r="Y31" i="14"/>
  <c r="Y111" i="14"/>
  <c r="X31" i="14"/>
  <c r="X111" i="14"/>
  <c r="W31" i="14"/>
  <c r="W111" i="14"/>
  <c r="V31" i="14"/>
  <c r="V111" i="14"/>
  <c r="U31" i="14"/>
  <c r="U111" i="14"/>
  <c r="T31" i="14"/>
  <c r="T111" i="14"/>
  <c r="S31" i="14"/>
  <c r="S111" i="14"/>
  <c r="R31" i="14"/>
  <c r="R111" i="14"/>
  <c r="Q31" i="14"/>
  <c r="Q111" i="14"/>
  <c r="P31" i="14"/>
  <c r="P111" i="14"/>
  <c r="O31" i="14"/>
  <c r="O111" i="14"/>
  <c r="N31" i="14"/>
  <c r="N111" i="14"/>
  <c r="M31" i="14"/>
  <c r="M111" i="14"/>
  <c r="L31" i="14"/>
  <c r="L111" i="14"/>
  <c r="K31" i="14"/>
  <c r="K111" i="14"/>
  <c r="J31" i="14"/>
  <c r="J111" i="14"/>
  <c r="I31" i="14"/>
  <c r="I111" i="14"/>
  <c r="H31" i="14"/>
  <c r="H111" i="14"/>
  <c r="G31" i="14"/>
  <c r="G111" i="14"/>
  <c r="F31" i="14"/>
  <c r="F111" i="14"/>
  <c r="E31" i="14"/>
  <c r="E111" i="14"/>
  <c r="D31" i="14"/>
  <c r="D111" i="14"/>
  <c r="C31" i="14"/>
  <c r="C111" i="14"/>
  <c r="B31" i="14"/>
  <c r="B111" i="14"/>
  <c r="AL13" i="14"/>
  <c r="AK13" i="14"/>
  <c r="AJ13" i="14"/>
  <c r="AI13" i="14"/>
  <c r="AH13" i="14"/>
  <c r="AG13" i="14"/>
  <c r="AF13" i="14"/>
  <c r="AE13" i="14"/>
  <c r="AD13" i="14"/>
  <c r="AA13" i="14"/>
  <c r="Z13" i="14"/>
  <c r="Y13" i="14"/>
  <c r="X13" i="14"/>
  <c r="W13" i="14"/>
  <c r="V13" i="14"/>
  <c r="U13" i="14"/>
  <c r="T13" i="14"/>
  <c r="S13" i="14"/>
  <c r="R13" i="14"/>
  <c r="O13" i="14"/>
  <c r="N13" i="14"/>
  <c r="M13" i="14"/>
  <c r="L13" i="14"/>
  <c r="K13" i="14"/>
  <c r="J13" i="14"/>
  <c r="I13" i="14"/>
  <c r="H13" i="14"/>
  <c r="G13" i="14"/>
  <c r="F13" i="14"/>
  <c r="C13" i="14"/>
  <c r="B13" i="14"/>
  <c r="AC11" i="14"/>
  <c r="AB11" i="14"/>
  <c r="Q11" i="14"/>
  <c r="Q13" i="14"/>
  <c r="P11" i="14"/>
  <c r="P35" i="14"/>
  <c r="P115" i="14"/>
  <c r="E11" i="14"/>
  <c r="E13" i="14"/>
  <c r="E4" i="14"/>
  <c r="E5" i="14"/>
  <c r="E29" i="14"/>
  <c r="E109" i="14"/>
  <c r="D11" i="14"/>
  <c r="D13" i="14"/>
  <c r="Z4" i="14"/>
  <c r="Z6" i="14"/>
  <c r="Z30" i="14"/>
  <c r="Z110" i="14"/>
  <c r="V4" i="14"/>
  <c r="V6" i="14"/>
  <c r="V30" i="14"/>
  <c r="V110" i="14"/>
  <c r="Z97" i="14"/>
  <c r="K98" i="14"/>
  <c r="AA98" i="14"/>
  <c r="F99" i="14"/>
  <c r="V99" i="14"/>
  <c r="AL99" i="14"/>
  <c r="Q100" i="14"/>
  <c r="AG100" i="14"/>
  <c r="L101" i="14"/>
  <c r="AB101" i="14"/>
  <c r="I102" i="14"/>
  <c r="Z102" i="14"/>
  <c r="G103" i="14"/>
  <c r="W103" i="14"/>
  <c r="L98" i="14"/>
  <c r="AB98" i="14"/>
  <c r="G99" i="14"/>
  <c r="W99" i="14"/>
  <c r="B100" i="14"/>
  <c r="R100" i="14"/>
  <c r="AH100" i="14"/>
  <c r="M101" i="14"/>
  <c r="AC101" i="14"/>
  <c r="J102" i="14"/>
  <c r="AA102" i="14"/>
  <c r="H103" i="14"/>
  <c r="X103" i="14"/>
  <c r="E96" i="14"/>
  <c r="M98" i="14"/>
  <c r="AC98" i="14"/>
  <c r="H99" i="14"/>
  <c r="X99" i="14"/>
  <c r="C100" i="14"/>
  <c r="S100" i="14"/>
  <c r="AI100" i="14"/>
  <c r="N101" i="14"/>
  <c r="AD101" i="14"/>
  <c r="K102" i="14"/>
  <c r="AD102" i="14"/>
  <c r="I103" i="14"/>
  <c r="Y103" i="14"/>
  <c r="P102" i="14"/>
  <c r="N98" i="14"/>
  <c r="AD98" i="14"/>
  <c r="I99" i="14"/>
  <c r="Y99" i="14"/>
  <c r="D100" i="14"/>
  <c r="T100" i="14"/>
  <c r="AJ100" i="14"/>
  <c r="O101" i="14"/>
  <c r="AE101" i="14"/>
  <c r="L102" i="14"/>
  <c r="AE102" i="14"/>
  <c r="J103" i="14"/>
  <c r="Z103" i="14"/>
  <c r="O98" i="14"/>
  <c r="AE98" i="14"/>
  <c r="J99" i="14"/>
  <c r="Z99" i="14"/>
  <c r="E100" i="14"/>
  <c r="U100" i="14"/>
  <c r="AK100" i="14"/>
  <c r="P101" i="14"/>
  <c r="AF101" i="14"/>
  <c r="M102" i="14"/>
  <c r="AF102" i="14"/>
  <c r="K103" i="14"/>
  <c r="AA103" i="14"/>
  <c r="P98" i="14"/>
  <c r="AF98" i="14"/>
  <c r="K99" i="14"/>
  <c r="AA99" i="14"/>
  <c r="F100" i="14"/>
  <c r="V100" i="14"/>
  <c r="AL100" i="14"/>
  <c r="Q101" i="14"/>
  <c r="AG101" i="14"/>
  <c r="N102" i="14"/>
  <c r="L103" i="14"/>
  <c r="AB103" i="14"/>
  <c r="Q98" i="14"/>
  <c r="AG98" i="14"/>
  <c r="L99" i="14"/>
  <c r="AB99" i="14"/>
  <c r="G100" i="14"/>
  <c r="W100" i="14"/>
  <c r="B101" i="14"/>
  <c r="R101" i="14"/>
  <c r="AH101" i="14"/>
  <c r="O102" i="14"/>
  <c r="AH102" i="14"/>
  <c r="M103" i="14"/>
  <c r="AC103" i="14"/>
  <c r="B98" i="14"/>
  <c r="R98" i="14"/>
  <c r="AH98" i="14"/>
  <c r="M99" i="14"/>
  <c r="AC99" i="14"/>
  <c r="H100" i="14"/>
  <c r="X100" i="14"/>
  <c r="C101" i="14"/>
  <c r="S101" i="14"/>
  <c r="AI101" i="14"/>
  <c r="Q35" i="14"/>
  <c r="Q115" i="14"/>
  <c r="AI102" i="14"/>
  <c r="N103" i="14"/>
  <c r="AD103" i="14"/>
  <c r="W4" i="14"/>
  <c r="W6" i="14"/>
  <c r="W30" i="14"/>
  <c r="W110" i="14"/>
  <c r="C98" i="14"/>
  <c r="S98" i="14"/>
  <c r="AI98" i="14"/>
  <c r="N99" i="14"/>
  <c r="AD99" i="14"/>
  <c r="I100" i="14"/>
  <c r="Y100" i="14"/>
  <c r="D101" i="14"/>
  <c r="T101" i="14"/>
  <c r="AJ101" i="14"/>
  <c r="X4" i="14"/>
  <c r="X6" i="14"/>
  <c r="X30" i="14"/>
  <c r="X110" i="14"/>
  <c r="D98" i="14"/>
  <c r="T98" i="14"/>
  <c r="AJ98" i="14"/>
  <c r="O99" i="14"/>
  <c r="AE99" i="14"/>
  <c r="J100" i="14"/>
  <c r="Z100" i="14"/>
  <c r="E101" i="14"/>
  <c r="U101" i="14"/>
  <c r="AK101" i="14"/>
  <c r="G4" i="14"/>
  <c r="G6" i="14"/>
  <c r="G30" i="14"/>
  <c r="G110" i="14"/>
  <c r="Y4" i="14"/>
  <c r="Y6" i="14"/>
  <c r="Y30" i="14"/>
  <c r="Y110" i="14"/>
  <c r="E98" i="14"/>
  <c r="U98" i="14"/>
  <c r="AK98" i="14"/>
  <c r="P99" i="14"/>
  <c r="F101" i="14"/>
  <c r="V101" i="14"/>
  <c r="AL101" i="14"/>
  <c r="AL102" i="14"/>
  <c r="Q103" i="14"/>
  <c r="AG103" i="14"/>
  <c r="F98" i="14"/>
  <c r="V98" i="14"/>
  <c r="AL98" i="14"/>
  <c r="Q99" i="14"/>
  <c r="AG99" i="14"/>
  <c r="L100" i="14"/>
  <c r="B103" i="14"/>
  <c r="R103" i="14"/>
  <c r="AH103" i="14"/>
  <c r="G98" i="14"/>
  <c r="W98" i="14"/>
  <c r="B99" i="14"/>
  <c r="R99" i="14"/>
  <c r="AH99" i="14"/>
  <c r="M100" i="14"/>
  <c r="AC100" i="14"/>
  <c r="C102" i="14"/>
  <c r="V102" i="14"/>
  <c r="C103" i="14"/>
  <c r="S103" i="14"/>
  <c r="AI103" i="14"/>
  <c r="F4" i="14"/>
  <c r="F6" i="14"/>
  <c r="F30" i="14"/>
  <c r="F110" i="14"/>
  <c r="H98" i="14"/>
  <c r="X98" i="14"/>
  <c r="S99" i="14"/>
  <c r="AI99" i="14"/>
  <c r="N100" i="14"/>
  <c r="AD100" i="14"/>
  <c r="F102" i="14"/>
  <c r="W102" i="14"/>
  <c r="D103" i="14"/>
  <c r="T103" i="14"/>
  <c r="AJ103" i="14"/>
  <c r="U4" i="14"/>
  <c r="U5" i="14"/>
  <c r="U29" i="14"/>
  <c r="U109" i="14"/>
  <c r="I98" i="14"/>
  <c r="Y98" i="14"/>
  <c r="T99" i="14"/>
  <c r="AJ99" i="14"/>
  <c r="AE100" i="14"/>
  <c r="G102" i="14"/>
  <c r="X102" i="14"/>
  <c r="E103" i="14"/>
  <c r="U103" i="14"/>
  <c r="AK103" i="14"/>
  <c r="J98" i="14"/>
  <c r="Z98" i="14"/>
  <c r="E99" i="14"/>
  <c r="U99" i="14"/>
  <c r="AK99" i="14"/>
  <c r="P100" i="14"/>
  <c r="AF100" i="14"/>
  <c r="K101" i="14"/>
  <c r="AA101" i="14"/>
  <c r="H102" i="14"/>
  <c r="Y102" i="14"/>
  <c r="F103" i="14"/>
  <c r="V103" i="14"/>
  <c r="AL103" i="14"/>
  <c r="AG37" i="14"/>
  <c r="AG117" i="14"/>
  <c r="AG102" i="14"/>
  <c r="G48" i="14"/>
  <c r="AF99" i="14"/>
  <c r="C49" i="14"/>
  <c r="K100" i="14"/>
  <c r="F49" i="14"/>
  <c r="AA100" i="14"/>
  <c r="R37" i="14"/>
  <c r="R117" i="14"/>
  <c r="R102" i="14"/>
  <c r="D52" i="14"/>
  <c r="O103" i="14"/>
  <c r="Z5" i="14"/>
  <c r="Z29" i="14"/>
  <c r="Z109" i="14"/>
  <c r="G49" i="14"/>
  <c r="AB100" i="14"/>
  <c r="W37" i="14"/>
  <c r="W117" i="14"/>
  <c r="W101" i="14"/>
  <c r="S37" i="14"/>
  <c r="S117" i="14"/>
  <c r="S102" i="14"/>
  <c r="E52" i="14"/>
  <c r="P103" i="14"/>
  <c r="H37" i="14"/>
  <c r="H117" i="14"/>
  <c r="H101" i="14"/>
  <c r="Y37" i="14"/>
  <c r="Y117" i="14"/>
  <c r="Y101" i="14"/>
  <c r="D35" i="14"/>
  <c r="D115" i="14"/>
  <c r="U37" i="14"/>
  <c r="U117" i="14"/>
  <c r="U102" i="14"/>
  <c r="C48" i="14"/>
  <c r="D99" i="14"/>
  <c r="J37" i="14"/>
  <c r="J117" i="14"/>
  <c r="J101" i="14"/>
  <c r="Z37" i="14"/>
  <c r="Z117" i="14"/>
  <c r="Z101" i="14"/>
  <c r="E35" i="14"/>
  <c r="E115" i="14"/>
  <c r="P13" i="14"/>
  <c r="P4" i="14"/>
  <c r="AA37" i="14"/>
  <c r="AA117" i="14"/>
  <c r="AH37" i="14"/>
  <c r="AH117" i="14"/>
  <c r="C4" i="14"/>
  <c r="C6" i="14"/>
  <c r="C30" i="14"/>
  <c r="C110" i="14"/>
  <c r="AI37" i="14"/>
  <c r="AI117" i="14"/>
  <c r="AJ37" i="14"/>
  <c r="AJ117" i="14"/>
  <c r="AJ102" i="14"/>
  <c r="G52" i="14"/>
  <c r="AE103" i="14"/>
  <c r="G37" i="14"/>
  <c r="G117" i="14"/>
  <c r="G101" i="14"/>
  <c r="B37" i="14"/>
  <c r="B117" i="14"/>
  <c r="B102" i="14"/>
  <c r="AK37" i="14"/>
  <c r="AK117" i="14"/>
  <c r="AK102" i="14"/>
  <c r="AF37" i="14"/>
  <c r="AF117" i="14"/>
  <c r="AF103" i="14"/>
  <c r="X37" i="14"/>
  <c r="X117" i="14"/>
  <c r="X101" i="14"/>
  <c r="T37" i="14"/>
  <c r="T117" i="14"/>
  <c r="T102" i="14"/>
  <c r="B48" i="14"/>
  <c r="C99" i="14"/>
  <c r="I37" i="14"/>
  <c r="I117" i="14"/>
  <c r="I101" i="14"/>
  <c r="D49" i="14"/>
  <c r="O100" i="14"/>
  <c r="K37" i="14"/>
  <c r="K117" i="14"/>
  <c r="B52" i="14"/>
  <c r="E47" i="14"/>
  <c r="E48" i="14"/>
  <c r="D48" i="14"/>
  <c r="E50" i="14"/>
  <c r="D50" i="14"/>
  <c r="V37" i="14"/>
  <c r="V117" i="14"/>
  <c r="C47" i="14"/>
  <c r="B47" i="14"/>
  <c r="C37" i="14"/>
  <c r="C117" i="14"/>
  <c r="AB13" i="14"/>
  <c r="AB4" i="14"/>
  <c r="AB35" i="14"/>
  <c r="AB115" i="14"/>
  <c r="AC13" i="14"/>
  <c r="AC4" i="14"/>
  <c r="AC35" i="14"/>
  <c r="AC115" i="14"/>
  <c r="F37" i="14"/>
  <c r="F117" i="14"/>
  <c r="C50" i="14"/>
  <c r="AL37" i="14"/>
  <c r="AL117" i="14"/>
  <c r="F50" i="14"/>
  <c r="E51" i="14"/>
  <c r="D51" i="14"/>
  <c r="P37" i="14"/>
  <c r="P117" i="14"/>
  <c r="E49" i="14"/>
  <c r="E6" i="14"/>
  <c r="E30" i="14"/>
  <c r="E110" i="14"/>
  <c r="F48" i="14"/>
  <c r="B49" i="14"/>
  <c r="G47" i="14"/>
  <c r="AH4" i="14"/>
  <c r="R4" i="14"/>
  <c r="B4" i="14"/>
  <c r="AG4" i="14"/>
  <c r="Q4" i="14"/>
  <c r="AF4" i="14"/>
  <c r="T4" i="14"/>
  <c r="S4" i="14"/>
  <c r="O4" i="14"/>
  <c r="AE4" i="14"/>
  <c r="K4" i="14"/>
  <c r="AA4" i="14"/>
  <c r="H4" i="14"/>
  <c r="AL4" i="14"/>
  <c r="AK4" i="14"/>
  <c r="AJ4" i="14"/>
  <c r="M4" i="14"/>
  <c r="L4" i="14"/>
  <c r="N4" i="14"/>
  <c r="AI4" i="14"/>
  <c r="AD4" i="14"/>
  <c r="J4" i="14"/>
  <c r="I4" i="14"/>
  <c r="F5" i="14"/>
  <c r="F29" i="14"/>
  <c r="F109" i="14"/>
  <c r="D4" i="14"/>
  <c r="D47" i="14"/>
  <c r="N37" i="14"/>
  <c r="N117" i="14"/>
  <c r="O37" i="14"/>
  <c r="O117" i="14"/>
  <c r="AE37" i="14"/>
  <c r="AE117" i="14"/>
  <c r="G50" i="14"/>
  <c r="L37" i="14"/>
  <c r="L117" i="14"/>
  <c r="C52" i="14"/>
  <c r="F47" i="14"/>
  <c r="M37" i="14"/>
  <c r="M117" i="14"/>
  <c r="B50" i="14"/>
  <c r="AD37" i="14"/>
  <c r="AD117" i="14"/>
  <c r="F52" i="14"/>
  <c r="F51" i="14"/>
  <c r="V97" i="14"/>
  <c r="F119" i="14"/>
  <c r="Y5" i="14"/>
  <c r="Y29" i="14"/>
  <c r="Y109" i="14"/>
  <c r="Y119" i="14"/>
  <c r="G5" i="14"/>
  <c r="G29" i="14"/>
  <c r="G109" i="14"/>
  <c r="G119" i="14"/>
  <c r="W5" i="14"/>
  <c r="W29" i="14"/>
  <c r="W109" i="14"/>
  <c r="W119" i="14"/>
  <c r="Z119" i="14"/>
  <c r="Q102" i="14"/>
  <c r="Q37" i="14"/>
  <c r="Q117" i="14"/>
  <c r="V5" i="14"/>
  <c r="V29" i="14"/>
  <c r="V109" i="14"/>
  <c r="V119" i="14"/>
  <c r="X5" i="14"/>
  <c r="X29" i="14"/>
  <c r="X38" i="14"/>
  <c r="X97" i="14"/>
  <c r="U96" i="14"/>
  <c r="AE104" i="14"/>
  <c r="B104" i="14"/>
  <c r="AG104" i="14"/>
  <c r="J104" i="14"/>
  <c r="Y97" i="14"/>
  <c r="AB102" i="14"/>
  <c r="I104" i="14"/>
  <c r="Z96" i="14"/>
  <c r="P104" i="14"/>
  <c r="W96" i="14"/>
  <c r="F96" i="14"/>
  <c r="C104" i="14"/>
  <c r="AJ104" i="14"/>
  <c r="U104" i="14"/>
  <c r="W97" i="14"/>
  <c r="U6" i="14"/>
  <c r="U30" i="14"/>
  <c r="U110" i="14"/>
  <c r="U119" i="14"/>
  <c r="T104" i="14"/>
  <c r="R104" i="14"/>
  <c r="AD104" i="14"/>
  <c r="V104" i="14"/>
  <c r="AI104" i="14"/>
  <c r="Y104" i="14"/>
  <c r="X104" i="14"/>
  <c r="C97" i="14"/>
  <c r="M104" i="14"/>
  <c r="AL104" i="14"/>
  <c r="AH104" i="14"/>
  <c r="H104" i="14"/>
  <c r="AF104" i="14"/>
  <c r="AA104" i="14"/>
  <c r="F104" i="14"/>
  <c r="AK104" i="14"/>
  <c r="F97" i="14"/>
  <c r="G97" i="14"/>
  <c r="K104" i="14"/>
  <c r="Z104" i="14"/>
  <c r="O104" i="14"/>
  <c r="W104" i="14"/>
  <c r="N104" i="14"/>
  <c r="G104" i="14"/>
  <c r="D102" i="14"/>
  <c r="L104" i="14"/>
  <c r="W38" i="14"/>
  <c r="S104" i="14"/>
  <c r="G38" i="14"/>
  <c r="G96" i="14"/>
  <c r="E97" i="14"/>
  <c r="AC37" i="14"/>
  <c r="AC117" i="14"/>
  <c r="AC102" i="14"/>
  <c r="C5" i="14"/>
  <c r="C29" i="14"/>
  <c r="C51" i="14"/>
  <c r="E37" i="14"/>
  <c r="E117" i="14"/>
  <c r="E119" i="14"/>
  <c r="E102" i="14"/>
  <c r="D37" i="14"/>
  <c r="Z38" i="14"/>
  <c r="B51" i="14"/>
  <c r="Y38" i="14"/>
  <c r="AA5" i="14"/>
  <c r="AA29" i="14"/>
  <c r="AA109" i="14"/>
  <c r="AA6" i="14"/>
  <c r="AA30" i="14"/>
  <c r="AA110" i="14"/>
  <c r="AB5" i="14"/>
  <c r="AB29" i="14"/>
  <c r="AB109" i="14"/>
  <c r="AB6" i="14"/>
  <c r="AB30" i="14"/>
  <c r="AB110" i="14"/>
  <c r="F38" i="14"/>
  <c r="AC5" i="14"/>
  <c r="AC29" i="14"/>
  <c r="AC109" i="14"/>
  <c r="AC6" i="14"/>
  <c r="AC30" i="14"/>
  <c r="AC110" i="14"/>
  <c r="K5" i="14"/>
  <c r="K29" i="14"/>
  <c r="K109" i="14"/>
  <c r="K6" i="14"/>
  <c r="K30" i="14"/>
  <c r="K110" i="14"/>
  <c r="AE5" i="14"/>
  <c r="AE29" i="14"/>
  <c r="AE109" i="14"/>
  <c r="AE6" i="14"/>
  <c r="AE30" i="14"/>
  <c r="AE110" i="14"/>
  <c r="I5" i="14"/>
  <c r="I29" i="14"/>
  <c r="I109" i="14"/>
  <c r="I6" i="14"/>
  <c r="I30" i="14"/>
  <c r="I110" i="14"/>
  <c r="O6" i="14"/>
  <c r="O30" i="14"/>
  <c r="O110" i="14"/>
  <c r="O5" i="14"/>
  <c r="O29" i="14"/>
  <c r="O109" i="14"/>
  <c r="O119" i="14"/>
  <c r="J5" i="14"/>
  <c r="J29" i="14"/>
  <c r="J109" i="14"/>
  <c r="J6" i="14"/>
  <c r="J30" i="14"/>
  <c r="J110" i="14"/>
  <c r="S6" i="14"/>
  <c r="S30" i="14"/>
  <c r="S110" i="14"/>
  <c r="S5" i="14"/>
  <c r="S29" i="14"/>
  <c r="S109" i="14"/>
  <c r="AD6" i="14"/>
  <c r="AD30" i="14"/>
  <c r="AD110" i="14"/>
  <c r="AD5" i="14"/>
  <c r="AD29" i="14"/>
  <c r="AD109" i="14"/>
  <c r="T5" i="14"/>
  <c r="T29" i="14"/>
  <c r="T109" i="14"/>
  <c r="T6" i="14"/>
  <c r="T30" i="14"/>
  <c r="T110" i="14"/>
  <c r="AI5" i="14"/>
  <c r="AI29" i="14"/>
  <c r="AI109" i="14"/>
  <c r="AI6" i="14"/>
  <c r="AI30" i="14"/>
  <c r="AI110" i="14"/>
  <c r="P6" i="14"/>
  <c r="P30" i="14"/>
  <c r="P110" i="14"/>
  <c r="P5" i="14"/>
  <c r="P29" i="14"/>
  <c r="P109" i="14"/>
  <c r="N6" i="14"/>
  <c r="N30" i="14"/>
  <c r="N110" i="14"/>
  <c r="N5" i="14"/>
  <c r="N29" i="14"/>
  <c r="N109" i="14"/>
  <c r="AF5" i="14"/>
  <c r="AF29" i="14"/>
  <c r="AF109" i="14"/>
  <c r="AF6" i="14"/>
  <c r="AF30" i="14"/>
  <c r="AF110" i="14"/>
  <c r="L5" i="14"/>
  <c r="L29" i="14"/>
  <c r="L109" i="14"/>
  <c r="L6" i="14"/>
  <c r="L30" i="14"/>
  <c r="L110" i="14"/>
  <c r="L119" i="14"/>
  <c r="Q5" i="14"/>
  <c r="Q29" i="14"/>
  <c r="Q109" i="14"/>
  <c r="Q6" i="14"/>
  <c r="Q30" i="14"/>
  <c r="Q110" i="14"/>
  <c r="AB37" i="14"/>
  <c r="AB117" i="14"/>
  <c r="G51" i="14"/>
  <c r="M5" i="14"/>
  <c r="M29" i="14"/>
  <c r="M109" i="14"/>
  <c r="M6" i="14"/>
  <c r="M30" i="14"/>
  <c r="M110" i="14"/>
  <c r="M119" i="14"/>
  <c r="AG6" i="14"/>
  <c r="AG30" i="14"/>
  <c r="AG110" i="14"/>
  <c r="AG5" i="14"/>
  <c r="AG29" i="14"/>
  <c r="AG109" i="14"/>
  <c r="AG119" i="14"/>
  <c r="AJ6" i="14"/>
  <c r="AJ30" i="14"/>
  <c r="AJ110" i="14"/>
  <c r="AJ5" i="14"/>
  <c r="AJ29" i="14"/>
  <c r="AJ109" i="14"/>
  <c r="B5" i="14"/>
  <c r="B29" i="14"/>
  <c r="B109" i="14"/>
  <c r="B6" i="14"/>
  <c r="B30" i="14"/>
  <c r="B110" i="14"/>
  <c r="AK6" i="14"/>
  <c r="AK30" i="14"/>
  <c r="AK110" i="14"/>
  <c r="AK5" i="14"/>
  <c r="AK29" i="14"/>
  <c r="AK109" i="14"/>
  <c r="AK119" i="14"/>
  <c r="R5" i="14"/>
  <c r="R29" i="14"/>
  <c r="R109" i="14"/>
  <c r="R6" i="14"/>
  <c r="R30" i="14"/>
  <c r="R110" i="14"/>
  <c r="D5" i="14"/>
  <c r="D29" i="14"/>
  <c r="D109" i="14"/>
  <c r="D6" i="14"/>
  <c r="D30" i="14"/>
  <c r="D110" i="14"/>
  <c r="AL6" i="14"/>
  <c r="AL30" i="14"/>
  <c r="AL110" i="14"/>
  <c r="AL5" i="14"/>
  <c r="AL29" i="14"/>
  <c r="AL109" i="14"/>
  <c r="AH5" i="14"/>
  <c r="AH29" i="14"/>
  <c r="AH109" i="14"/>
  <c r="AH6" i="14"/>
  <c r="AH30" i="14"/>
  <c r="AH110" i="14"/>
  <c r="H6" i="14"/>
  <c r="H30" i="14"/>
  <c r="H110" i="14"/>
  <c r="H5" i="14"/>
  <c r="H29" i="14"/>
  <c r="H109" i="14"/>
  <c r="H119" i="14"/>
  <c r="C109" i="14"/>
  <c r="C119" i="14"/>
  <c r="B45" i="14"/>
  <c r="Y96" i="14"/>
  <c r="S119" i="14"/>
  <c r="AJ119" i="14"/>
  <c r="P119" i="14"/>
  <c r="AL119" i="14"/>
  <c r="AD119" i="14"/>
  <c r="T119" i="14"/>
  <c r="G106" i="14"/>
  <c r="B53" i="14"/>
  <c r="Z106" i="14"/>
  <c r="N119" i="14"/>
  <c r="V38" i="14"/>
  <c r="I119" i="14"/>
  <c r="Q119" i="14"/>
  <c r="AB119" i="14"/>
  <c r="J119" i="14"/>
  <c r="F106" i="14"/>
  <c r="AI119" i="14"/>
  <c r="D53" i="14"/>
  <c r="K119" i="14"/>
  <c r="R119" i="14"/>
  <c r="AA119" i="14"/>
  <c r="X96" i="14"/>
  <c r="X106" i="14"/>
  <c r="X109" i="14"/>
  <c r="X119" i="14"/>
  <c r="AF119" i="14"/>
  <c r="B119" i="14"/>
  <c r="W106" i="14"/>
  <c r="C53" i="14"/>
  <c r="D117" i="14"/>
  <c r="D119" i="14"/>
  <c r="U38" i="14"/>
  <c r="AH119" i="14"/>
  <c r="AE119" i="14"/>
  <c r="V96" i="14"/>
  <c r="V106" i="14"/>
  <c r="E53" i="14"/>
  <c r="AC119" i="14"/>
  <c r="Q104" i="14"/>
  <c r="Y106" i="14"/>
  <c r="B96" i="14"/>
  <c r="N97" i="14"/>
  <c r="AJ97" i="14"/>
  <c r="P96" i="14"/>
  <c r="AH97" i="14"/>
  <c r="D104" i="14"/>
  <c r="I96" i="14"/>
  <c r="AG97" i="14"/>
  <c r="AI96" i="14"/>
  <c r="E104" i="14"/>
  <c r="E106" i="14"/>
  <c r="AL97" i="14"/>
  <c r="M97" i="14"/>
  <c r="AE96" i="14"/>
  <c r="D97" i="14"/>
  <c r="C96" i="14"/>
  <c r="C106" i="14"/>
  <c r="K96" i="14"/>
  <c r="R97" i="14"/>
  <c r="AB104" i="14"/>
  <c r="T96" i="14"/>
  <c r="AC97" i="14"/>
  <c r="AC104" i="14"/>
  <c r="R96" i="14"/>
  <c r="Q97" i="14"/>
  <c r="AC96" i="14"/>
  <c r="Q96" i="14"/>
  <c r="AD97" i="14"/>
  <c r="AK97" i="14"/>
  <c r="L97" i="14"/>
  <c r="AB97" i="14"/>
  <c r="L96" i="14"/>
  <c r="S97" i="14"/>
  <c r="AB96" i="14"/>
  <c r="C38" i="14"/>
  <c r="AF97" i="14"/>
  <c r="J97" i="14"/>
  <c r="AA97" i="14"/>
  <c r="O96" i="14"/>
  <c r="H97" i="14"/>
  <c r="I97" i="14"/>
  <c r="AH96" i="14"/>
  <c r="AI97" i="14"/>
  <c r="AE97" i="14"/>
  <c r="M96" i="14"/>
  <c r="K97" i="14"/>
  <c r="U97" i="14"/>
  <c r="U106" i="14"/>
  <c r="D96" i="14"/>
  <c r="T97" i="14"/>
  <c r="B97" i="14"/>
  <c r="AF96" i="14"/>
  <c r="J96" i="14"/>
  <c r="AA96" i="14"/>
  <c r="H38" i="14"/>
  <c r="H96" i="14"/>
  <c r="AJ38" i="14"/>
  <c r="AJ96" i="14"/>
  <c r="E46" i="14"/>
  <c r="P97" i="14"/>
  <c r="AG38" i="14"/>
  <c r="AG96" i="14"/>
  <c r="AL38" i="14"/>
  <c r="AL96" i="14"/>
  <c r="AD38" i="14"/>
  <c r="AD96" i="14"/>
  <c r="AK38" i="14"/>
  <c r="AK96" i="14"/>
  <c r="N38" i="14"/>
  <c r="N96" i="14"/>
  <c r="N106" i="14"/>
  <c r="D46" i="14"/>
  <c r="O97" i="14"/>
  <c r="E38" i="14"/>
  <c r="S38" i="14"/>
  <c r="S96" i="14"/>
  <c r="AH38" i="14"/>
  <c r="O38" i="14"/>
  <c r="D45" i="14"/>
  <c r="E45" i="14"/>
  <c r="P38" i="14"/>
  <c r="C46" i="14"/>
  <c r="I38" i="14"/>
  <c r="C45" i="14"/>
  <c r="D38" i="14"/>
  <c r="AI38" i="14"/>
  <c r="B46" i="14"/>
  <c r="M38" i="14"/>
  <c r="AE38" i="14"/>
  <c r="R38" i="14"/>
  <c r="G53" i="14"/>
  <c r="F53" i="14"/>
  <c r="K38" i="14"/>
  <c r="T38" i="14"/>
  <c r="Q38" i="14"/>
  <c r="AC38" i="14"/>
  <c r="L38" i="14"/>
  <c r="G46" i="14"/>
  <c r="AB38" i="14"/>
  <c r="G45" i="14"/>
  <c r="F46" i="14"/>
  <c r="B38" i="14"/>
  <c r="AF38" i="14"/>
  <c r="J38" i="14"/>
  <c r="AA38" i="14"/>
  <c r="F45" i="14"/>
  <c r="AG106" i="14"/>
  <c r="AD106" i="14"/>
  <c r="D106" i="14"/>
  <c r="L106" i="14"/>
  <c r="AL106" i="14"/>
  <c r="AE106" i="14"/>
  <c r="B106" i="14"/>
  <c r="AK106" i="14"/>
  <c r="K106" i="14"/>
  <c r="P106" i="14"/>
  <c r="H106" i="14"/>
  <c r="T106" i="14"/>
  <c r="AA106" i="14"/>
  <c r="AB106" i="14"/>
  <c r="AI106" i="14"/>
  <c r="S106" i="14"/>
  <c r="AC106" i="14"/>
  <c r="O106" i="14"/>
  <c r="J106" i="14"/>
  <c r="AF106" i="14"/>
  <c r="M106" i="14"/>
  <c r="Q106" i="14"/>
  <c r="AH106" i="14"/>
  <c r="AJ106" i="14"/>
  <c r="I106" i="14"/>
  <c r="R106" i="14"/>
  <c r="G6" i="11"/>
  <c r="G5" i="11"/>
  <c r="G4" i="11"/>
  <c r="G3" i="11"/>
  <c r="H12" i="11"/>
  <c r="F12" i="11"/>
  <c r="H11" i="11"/>
  <c r="F11" i="11"/>
  <c r="H10" i="11"/>
  <c r="F10" i="11"/>
  <c r="H9" i="11"/>
  <c r="F9" i="11"/>
  <c r="H8" i="11"/>
  <c r="F8" i="11"/>
  <c r="H7" i="11"/>
  <c r="F7" i="11"/>
  <c r="H6" i="11"/>
  <c r="F6" i="11"/>
  <c r="H5" i="11"/>
  <c r="F5" i="11"/>
  <c r="H4" i="11"/>
  <c r="F4" i="11"/>
  <c r="H3" i="11"/>
  <c r="F3" i="11"/>
  <c r="D12" i="11"/>
  <c r="D11" i="11"/>
  <c r="D10" i="11"/>
  <c r="D9" i="11"/>
  <c r="D8" i="11"/>
  <c r="D7" i="11"/>
  <c r="D6" i="11"/>
  <c r="D5" i="11"/>
  <c r="D4" i="11"/>
  <c r="D3" i="11"/>
  <c r="C6" i="11"/>
  <c r="C5" i="11"/>
  <c r="C4" i="11"/>
  <c r="E6" i="11"/>
  <c r="E5" i="11"/>
  <c r="E4" i="11"/>
  <c r="E3" i="11"/>
  <c r="E10" i="12"/>
  <c r="E11" i="12"/>
  <c r="D16" i="11"/>
  <c r="F16" i="11"/>
  <c r="H16" i="11"/>
  <c r="I11" i="11"/>
  <c r="J11" i="11"/>
  <c r="I10" i="11"/>
  <c r="J10" i="11"/>
  <c r="I8" i="11"/>
  <c r="J8" i="11"/>
  <c r="I9" i="11"/>
  <c r="J9" i="11"/>
  <c r="I5" i="11"/>
  <c r="J5" i="11"/>
  <c r="I6" i="11"/>
  <c r="J6" i="11"/>
  <c r="I3" i="11"/>
  <c r="J3" i="11"/>
  <c r="I7" i="11"/>
  <c r="J7" i="11"/>
  <c r="I4" i="11"/>
  <c r="J4" i="11"/>
  <c r="I12" i="11"/>
  <c r="J12" i="11"/>
  <c r="C12" i="12"/>
  <c r="E12" i="12"/>
  <c r="C11" i="12"/>
  <c r="C10" i="12"/>
  <c r="E9" i="12"/>
  <c r="C9" i="12"/>
  <c r="F17" i="11"/>
  <c r="D17" i="11"/>
  <c r="H17" i="11"/>
  <c r="D13" i="11"/>
  <c r="H13" i="11"/>
  <c r="F13" i="11"/>
  <c r="D14" i="11"/>
  <c r="F14" i="11"/>
  <c r="H14" i="11"/>
  <c r="D15" i="11"/>
  <c r="H15" i="11"/>
  <c r="F15" i="11"/>
  <c r="I16" i="11"/>
  <c r="J16" i="11"/>
  <c r="H19" i="11"/>
  <c r="F19" i="11"/>
  <c r="D19" i="11"/>
  <c r="H18" i="11"/>
  <c r="D18" i="11"/>
  <c r="F18" i="11"/>
  <c r="I14" i="11"/>
  <c r="J14" i="11"/>
  <c r="I19" i="11"/>
  <c r="J19" i="11"/>
  <c r="I15" i="11"/>
  <c r="J15" i="11"/>
  <c r="I13" i="11"/>
  <c r="J13" i="11"/>
  <c r="I17" i="11"/>
  <c r="J17" i="11"/>
  <c r="I18" i="11"/>
  <c r="J18" i="11"/>
  <c r="D14" i="7"/>
  <c r="D15" i="7"/>
  <c r="C14" i="7"/>
  <c r="C15" i="7"/>
  <c r="B14" i="7"/>
  <c r="B15" i="7"/>
  <c r="E15" i="6"/>
  <c r="E3" i="6"/>
  <c r="E15" i="5"/>
  <c r="E4" i="5"/>
  <c r="E17" i="4"/>
  <c r="E3" i="4"/>
  <c r="G7" i="4"/>
  <c r="D19" i="7"/>
  <c r="D20" i="7"/>
  <c r="E17" i="3"/>
  <c r="E3" i="3"/>
  <c r="E17" i="2"/>
  <c r="G7" i="2"/>
  <c r="B19" i="7"/>
  <c r="B20" i="7"/>
  <c r="E3" i="2"/>
  <c r="G7" i="3"/>
  <c r="C19" i="7"/>
  <c r="C20" i="7"/>
  <c r="E7" i="7"/>
  <c r="G5" i="6"/>
  <c r="G5" i="5"/>
  <c r="D7" i="7"/>
  <c r="F7" i="7"/>
</calcChain>
</file>

<file path=xl/sharedStrings.xml><?xml version="1.0" encoding="utf-8"?>
<sst xmlns="http://schemas.openxmlformats.org/spreadsheetml/2006/main" count="731" uniqueCount="303">
  <si>
    <t>Cp, J/K*mol</t>
  </si>
  <si>
    <t>Cp at T=300K, J/mol CH4</t>
  </si>
  <si>
    <t>Cp at T=1500K, J/mol CH4</t>
  </si>
  <si>
    <t>Cp at T=300K, J/mol C</t>
  </si>
  <si>
    <t>Cp at T=1500K, J/mol C</t>
  </si>
  <si>
    <t>Cp at T=300K, J/mol H2</t>
  </si>
  <si>
    <t>Cp at T=1500K, J/mol H2</t>
  </si>
  <si>
    <t>Cp at T=1200K, J/mol Cu2O</t>
  </si>
  <si>
    <t>Cp at T=1500K, J/mol Cu2O</t>
  </si>
  <si>
    <t>Cp at T=300K</t>
  </si>
  <si>
    <t>Cp at T=1500K</t>
  </si>
  <si>
    <t>Cu</t>
  </si>
  <si>
    <t>methane (CH4)</t>
  </si>
  <si>
    <t>coke (C)</t>
  </si>
  <si>
    <t>hydrogen (H2)</t>
  </si>
  <si>
    <t>Molar Mass</t>
  </si>
  <si>
    <t>g/mol</t>
  </si>
  <si>
    <t>Lower Heating Value (LHV)</t>
  </si>
  <si>
    <t>MJ/kg</t>
  </si>
  <si>
    <t>-</t>
  </si>
  <si>
    <t>CH4</t>
  </si>
  <si>
    <t>C</t>
  </si>
  <si>
    <t>H2</t>
  </si>
  <si>
    <t>Reductant amount</t>
  </si>
  <si>
    <t>Unit</t>
  </si>
  <si>
    <t>mol reductant per mol Cu</t>
  </si>
  <si>
    <t>mol/mol Cu</t>
  </si>
  <si>
    <t>mol reductant per t Cu</t>
  </si>
  <si>
    <t>mol/t Cu</t>
  </si>
  <si>
    <t>kg reductant per t Cu</t>
  </si>
  <si>
    <t>kg/t Cu</t>
  </si>
  <si>
    <t>Reductant preheating</t>
  </si>
  <si>
    <t>energy for the preheat, MJ/t Cu</t>
  </si>
  <si>
    <t>heating fuel amount, kg/t Cu</t>
  </si>
  <si>
    <t>Matte preheating</t>
  </si>
  <si>
    <t>Air preheating</t>
  </si>
  <si>
    <t>Negligible amount of energy</t>
  </si>
  <si>
    <t>Global production (million t)</t>
  </si>
  <si>
    <t>US production (million t)</t>
  </si>
  <si>
    <t>US Estimated Value, billion US$</t>
  </si>
  <si>
    <t>Copper</t>
  </si>
  <si>
    <t>Iron &amp; Steel (pig iron + raw steel)</t>
  </si>
  <si>
    <t>Aluminum (primary)</t>
  </si>
  <si>
    <t>Cement</t>
  </si>
  <si>
    <t>Source:</t>
  </si>
  <si>
    <t>USGS Mineral Commodities Summaries 2023</t>
  </si>
  <si>
    <t>Energy needed to heat the Cu2O, MJ/t Cu</t>
  </si>
  <si>
    <r>
      <t>T,</t>
    </r>
    <r>
      <rPr>
        <b/>
        <sz val="11"/>
        <color theme="1"/>
        <rFont val="Aptos Narrow"/>
        <family val="2"/>
      </rPr>
      <t>°</t>
    </r>
    <r>
      <rPr>
        <b/>
        <sz val="11"/>
        <color theme="1"/>
        <rFont val="Calibri"/>
        <family val="2"/>
        <scheme val="minor"/>
      </rPr>
      <t>K</t>
    </r>
  </si>
  <si>
    <t>Energy needed to heat CH4, MJ/t Cu</t>
  </si>
  <si>
    <t>Energy needed to heat C, MJ</t>
  </si>
  <si>
    <t>Energy needed to heat H2, MJ/t Cu</t>
  </si>
  <si>
    <t>Energy needed to heat the air, MJ/t Cu</t>
  </si>
  <si>
    <t>Input</t>
  </si>
  <si>
    <t>NG</t>
  </si>
  <si>
    <t>Coke</t>
  </si>
  <si>
    <t>$/MWh H2</t>
  </si>
  <si>
    <t>$/MWh NG</t>
  </si>
  <si>
    <t>$/Mcf</t>
  </si>
  <si>
    <t>When CO2 abatement cost = 0</t>
  </si>
  <si>
    <t>NG price, $/kg</t>
  </si>
  <si>
    <t>SMR + 55% CCS</t>
  </si>
  <si>
    <t>No PTC</t>
  </si>
  <si>
    <t>$0.6/kg H2</t>
  </si>
  <si>
    <t>$0.75/kg H2</t>
  </si>
  <si>
    <t>$1.002/kg H2</t>
  </si>
  <si>
    <t>$3/kg H2</t>
  </si>
  <si>
    <t>Delta1</t>
  </si>
  <si>
    <t>SMR + 93% CCS</t>
  </si>
  <si>
    <t>Renewable/Nuclear</t>
  </si>
  <si>
    <t>Preheat kg/t Cu</t>
  </si>
  <si>
    <t>Reductant kg/t Cu</t>
  </si>
  <si>
    <t>CO2 emissions kg CO2/t Cu min</t>
  </si>
  <si>
    <t>CO2 emissions kg CO2/t Cu max</t>
  </si>
  <si>
    <t>Input cost $/t Cu min</t>
  </si>
  <si>
    <t>Input cost $/t Cu max</t>
  </si>
  <si>
    <t>Methane</t>
  </si>
  <si>
    <t>Total amount of reductant + preheating fuel in AF</t>
  </si>
  <si>
    <t>Name: Reductant and heating fuel requirements for anode furnace (AF)</t>
  </si>
  <si>
    <r>
      <t>No need to preheat; the matte is at 1200</t>
    </r>
    <r>
      <rPr>
        <u/>
        <sz val="11"/>
        <color theme="1"/>
        <rFont val="Aptos Narrow"/>
        <family val="2"/>
      </rPr>
      <t>°</t>
    </r>
    <r>
      <rPr>
        <u/>
        <sz val="11"/>
        <color theme="1"/>
        <rFont val="Calibri"/>
        <family val="2"/>
        <scheme val="minor"/>
      </rPr>
      <t>C from the converting stage. This temperature is maintained by the exothermic nature of the reduction reactions</t>
    </r>
  </si>
  <si>
    <t>Name: Energy requirement to heat methane reductant for anode furnace (AF)</t>
  </si>
  <si>
    <t>Name: Energy requirement to heat coke reductant for anode furnace (AF)</t>
  </si>
  <si>
    <t>Name: Energy requirement to heat hydrogen reductant for anode furnace (AF)</t>
  </si>
  <si>
    <t>Name: Energy requirement to heat Cu matte for anode furnace (AF)</t>
  </si>
  <si>
    <t>Name: Energy requirement to heat air in anode furnace (AF)</t>
  </si>
  <si>
    <t>Reductant in reaction</t>
  </si>
  <si>
    <t>Reductant production</t>
  </si>
  <si>
    <t>min</t>
  </si>
  <si>
    <t>max</t>
  </si>
  <si>
    <t>H2: SMR</t>
  </si>
  <si>
    <t>H2: SMR + 50% CCS</t>
  </si>
  <si>
    <t>H2: SMR + 90% CCS</t>
  </si>
  <si>
    <t>H2: 100% NG Grid</t>
  </si>
  <si>
    <t>H2: 100% Coal Grid</t>
  </si>
  <si>
    <t>H2: 100% RE grid</t>
  </si>
  <si>
    <t>Feedstock</t>
  </si>
  <si>
    <t>Emissions from production, kgCO2/kg feedstock or kWh for electrolysis; min</t>
  </si>
  <si>
    <t>Emissions from production, kgCO2/kg H2; min</t>
  </si>
  <si>
    <t>Emissions from production, kgCO2/kg feedstock or kWh; max</t>
  </si>
  <si>
    <t>Emissions from production, kgCO2/kg H2; max</t>
  </si>
  <si>
    <t>Reference</t>
  </si>
  <si>
    <t>Emissions from production, kg CO2/kWh; min</t>
  </si>
  <si>
    <t>Emissions from production, kg CO2/kWh; max</t>
  </si>
  <si>
    <t>https://www.energy.gov/sites/prod/files/2019/09/f66/Life%20Cycle%20Analysis%20of%20Natural%20Gas%20Extraction%20and%20Power%20Generation%2005_29_14%20NETL.pdf</t>
  </si>
  <si>
    <t>NG Grid</t>
  </si>
  <si>
    <t>https://www.nrel.gov/docs/fy99osti/25119.pdf</t>
  </si>
  <si>
    <t>Coal Grid</t>
  </si>
  <si>
    <t>https://greet.es.anl.gov/publication-smr_h2_2019</t>
  </si>
  <si>
    <t>US 2016 Grid</t>
  </si>
  <si>
    <t>https://www.globalccsinstitute.com/wp-content/uploads/2021/04/Circular-Carbon-Economy-series-Blue-Hydrogen.pdf</t>
  </si>
  <si>
    <t>Electrolysis</t>
  </si>
  <si>
    <t>https://www.eia.gov/tools/faqs/faq.php?id=74&amp;t=11#:~:text=In%202018%2C%20total%20U.S.%20electricity,of%20CO2%20emissions%20per%20kWh.</t>
  </si>
  <si>
    <t>https://www.carbonfootprint.com/docs/2019_06_emissions_factors_sources_for_2019_electricity.pdf</t>
  </si>
  <si>
    <t>https://www.democrats.senate.gov/imo/media/doc/inflation_reduction_act_of_2022.pdf</t>
  </si>
  <si>
    <t>Heating + Reductant use, per t Cu</t>
  </si>
  <si>
    <t>CH4, kg/t Cu</t>
  </si>
  <si>
    <t>Coke, kg/t Cu</t>
  </si>
  <si>
    <t>H2, kg/t Cu</t>
  </si>
  <si>
    <t>H2: NG Grid</t>
  </si>
  <si>
    <t>H2: Coal Grid</t>
  </si>
  <si>
    <t>H2: US 2016 Grid</t>
  </si>
  <si>
    <t>H2: Renewable/Nuclear</t>
  </si>
  <si>
    <t>$/MWh</t>
  </si>
  <si>
    <t>No carbon tax</t>
  </si>
  <si>
    <t>$60 carbon tax</t>
  </si>
  <si>
    <t>$100 carbon tax</t>
  </si>
  <si>
    <t>$250 carbon tax</t>
  </si>
  <si>
    <t>Base 1</t>
  </si>
  <si>
    <r>
      <t>$60/t CO</t>
    </r>
    <r>
      <rPr>
        <vertAlign val="subscript"/>
        <sz val="11"/>
        <color theme="1"/>
        <rFont val="Calibri"/>
        <family val="2"/>
        <charset val="204"/>
        <scheme val="minor"/>
      </rPr>
      <t>2</t>
    </r>
  </si>
  <si>
    <r>
      <t>$100/t CO</t>
    </r>
    <r>
      <rPr>
        <vertAlign val="subscript"/>
        <sz val="11"/>
        <color theme="1"/>
        <rFont val="Calibri"/>
        <family val="2"/>
        <charset val="204"/>
        <scheme val="minor"/>
      </rPr>
      <t>2</t>
    </r>
  </si>
  <si>
    <r>
      <t>$250/t CO</t>
    </r>
    <r>
      <rPr>
        <vertAlign val="subscript"/>
        <sz val="11"/>
        <color theme="1"/>
        <rFont val="Calibri"/>
        <family val="2"/>
        <charset val="204"/>
        <scheme val="minor"/>
      </rPr>
      <t>2</t>
    </r>
  </si>
  <si>
    <t>Delta2</t>
  </si>
  <si>
    <t>Delta3</t>
  </si>
  <si>
    <t>Preheat matte, air + losses kg/t Cu</t>
  </si>
  <si>
    <t>Preheat of reductant kg/t Cu</t>
  </si>
  <si>
    <t>Reductant for reaction kg/t Cu</t>
  </si>
  <si>
    <t>Notes:</t>
  </si>
  <si>
    <t>During copper reduction with methane, reaction releases 2.75 kg CO2 for each kg CH4</t>
  </si>
  <si>
    <t>During copper reduction with coke, reaction releases 3.7 kg CO2 for each kg C</t>
  </si>
  <si>
    <t>Losses Production</t>
  </si>
  <si>
    <t>Losses Combustion</t>
  </si>
  <si>
    <t>Reductant preheat combustion</t>
  </si>
  <si>
    <t>Reductant preheat production</t>
  </si>
  <si>
    <t>Historical</t>
  </si>
  <si>
    <t>Power lines, km</t>
  </si>
  <si>
    <t>Transmission power lines, km</t>
  </si>
  <si>
    <t>Distribution power lines,  km</t>
  </si>
  <si>
    <t>EVs, million vehicles</t>
  </si>
  <si>
    <t>Solar, GW</t>
  </si>
  <si>
    <t>Nuclear, GW</t>
  </si>
  <si>
    <t>Wind, GW</t>
  </si>
  <si>
    <t>Hydropower, GW</t>
  </si>
  <si>
    <t>Battery storage, GW</t>
  </si>
  <si>
    <t>Total</t>
  </si>
  <si>
    <t>km</t>
  </si>
  <si>
    <t xml:space="preserve">https://infrastructurereportcard.org/wp-content/uploads/2020/12/Energy-2021.pdf </t>
  </si>
  <si>
    <t>GW</t>
  </si>
  <si>
    <t>https://www.eia.gov/electricity/annual/html/epa_04_03.html</t>
  </si>
  <si>
    <t>km/GW</t>
  </si>
  <si>
    <t>Wind turbine, onshore</t>
  </si>
  <si>
    <t>Solar PV</t>
  </si>
  <si>
    <t>Hydro</t>
  </si>
  <si>
    <t>Nuclear</t>
  </si>
  <si>
    <t>Battery storage, ton per GW</t>
  </si>
  <si>
    <t>EV, ton per MILLION vehicle</t>
  </si>
  <si>
    <t>Power Line, ton/km</t>
  </si>
  <si>
    <t>copper content, ton/GW</t>
  </si>
  <si>
    <t>Transmission lines</t>
  </si>
  <si>
    <t>Distribution lines</t>
  </si>
  <si>
    <t>EVs</t>
  </si>
  <si>
    <t>Solar</t>
  </si>
  <si>
    <t>Wind</t>
  </si>
  <si>
    <t>Hydropower</t>
  </si>
  <si>
    <t>Battery storage</t>
  </si>
  <si>
    <t>Other</t>
  </si>
  <si>
    <t>x</t>
  </si>
  <si>
    <t>2x</t>
  </si>
  <si>
    <t>3x</t>
  </si>
  <si>
    <t>4.6x</t>
  </si>
  <si>
    <t>2.4x</t>
  </si>
  <si>
    <t>2.5x</t>
  </si>
  <si>
    <t>2.9x</t>
  </si>
  <si>
    <t>2.2x</t>
  </si>
  <si>
    <t>2.1x</t>
  </si>
  <si>
    <t>2.7x</t>
  </si>
  <si>
    <t>2.3x</t>
  </si>
  <si>
    <t>4.1x</t>
  </si>
  <si>
    <t>5.5x</t>
  </si>
  <si>
    <t>2.8x</t>
  </si>
  <si>
    <t>2.6x</t>
  </si>
  <si>
    <t>3.3x</t>
  </si>
  <si>
    <t>3.4x</t>
  </si>
  <si>
    <t>7x</t>
  </si>
  <si>
    <t>4x</t>
  </si>
  <si>
    <t>4.5x</t>
  </si>
  <si>
    <t>H2: SMR + 93%CCS</t>
  </si>
  <si>
    <t>H2: SMR + 55%CCS</t>
  </si>
  <si>
    <t>H2 without losses</t>
  </si>
  <si>
    <t>Total emissions</t>
  </si>
  <si>
    <t>Share of Transmission lines in the grid</t>
  </si>
  <si>
    <t>Share of Distribution lines in the grid</t>
  </si>
  <si>
    <t>Length of US electricity grid</t>
  </si>
  <si>
    <t>Capacity of the US electricity grid</t>
  </si>
  <si>
    <t>Length per Capacity of the US electricity grid</t>
  </si>
  <si>
    <t>CI = 6 t CO2/t Cu</t>
  </si>
  <si>
    <t>CI = 2 t CO2/t Cu</t>
  </si>
  <si>
    <t>ref</t>
  </si>
  <si>
    <t>H2: AZ 2022 Grid</t>
  </si>
  <si>
    <t>Name: Calculation of break-even hydrogen cost-price compared to methane in AF using PTC policy</t>
  </si>
  <si>
    <t>Name: Calculation of break-even hydrogen cost-price compared to methane in AF using 45Q policy</t>
  </si>
  <si>
    <t>Name: Initial assumptions for feedstocks in AF</t>
  </si>
  <si>
    <t>Name: Emissions from AF operation</t>
  </si>
  <si>
    <t>Name: Projected need for copper by clean energy technologies and the respective projected emissions from increased copper need</t>
  </si>
  <si>
    <t>PTC</t>
  </si>
  <si>
    <t>45Q</t>
  </si>
  <si>
    <t>H2 in mining trucks, $/t Cu</t>
  </si>
  <si>
    <t>Initial Diesel cost at $4/gal, $/t Cu</t>
  </si>
  <si>
    <t>Initial NG cost smelting at $6/Mcf, $/t Cu</t>
  </si>
  <si>
    <t>Initial NG cost AF at $6/Mcf, $/t Cu</t>
  </si>
  <si>
    <t>H2 heating of flash smelting, $/t Cu</t>
  </si>
  <si>
    <t>H2 heating + Reductant in AF, $/t Cu</t>
  </si>
  <si>
    <t>Copper Production Cost, $/t Cu min</t>
  </si>
  <si>
    <t>Copper Production Cost, $/t Cu max</t>
  </si>
  <si>
    <t>Fraction of FF Cost in Total Copper Production Cost, % min</t>
  </si>
  <si>
    <t>Fraction of FF Cost in Total Copper Production Cost, % max</t>
  </si>
  <si>
    <t>No 45Q</t>
  </si>
  <si>
    <r>
      <t>$0.6/kg H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</si>
  <si>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$0.75/kg H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</si>
  <si>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$1/kg H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</si>
  <si>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$3/kg H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</si>
  <si>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$60/t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</si>
  <si>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$100/t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</si>
  <si>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$250/t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</si>
  <si>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Total Policy Cost if difference is not offset by the policy, $/t Cu</t>
  </si>
  <si>
    <t>Total Policy Cost if difference is offset by the policy, $/t Cu</t>
  </si>
  <si>
    <t>Offset amount, covered by the policy on the H2 production side, $/t Cu</t>
  </si>
  <si>
    <r>
      <t>Name: Total policy cost to switch from FF to H</t>
    </r>
    <r>
      <rPr>
        <vertAlign val="sub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in hauling, flash smelting, and fire refining</t>
    </r>
  </si>
  <si>
    <t>Total Copper Cost With Policy, $/t Cu min (no offset)</t>
  </si>
  <si>
    <t>Total Policy Cost With Policy, $/t Cu max (no offset)</t>
  </si>
  <si>
    <t>Fraction of H2 Cost in Total Copper Production Cost, % max (no offset)</t>
  </si>
  <si>
    <t>Fraction of H2 Cost in Total Copper Production Cost, % min (no offset)</t>
  </si>
  <si>
    <t>Total emissions without losses</t>
  </si>
  <si>
    <t>Name: Production and value of central to the energy sector materials</t>
  </si>
  <si>
    <t>Year 2022</t>
  </si>
  <si>
    <t>Label</t>
  </si>
  <si>
    <t>Stats Cu need, Mt</t>
  </si>
  <si>
    <t>CO2 emissions, Mt</t>
  </si>
  <si>
    <t>Total projected CO2 emissions, Mt</t>
  </si>
  <si>
    <t>Category</t>
  </si>
  <si>
    <t>BaU (NREL1)</t>
  </si>
  <si>
    <t>95% electrification by 2050 (NREL2)</t>
  </si>
  <si>
    <t>95% electrification by 2035 (NREL3)</t>
  </si>
  <si>
    <t>AEO 2022 Reference case (EIA1)</t>
  </si>
  <si>
    <t>High economic growth (EIA2)</t>
  </si>
  <si>
    <t>Low economic growth (EIA3)</t>
  </si>
  <si>
    <t>High oil price (EIA4)</t>
  </si>
  <si>
    <t>Low oil price (EIA5)</t>
  </si>
  <si>
    <t>High oil and gas supply (EIA6)</t>
  </si>
  <si>
    <t>Low oil and gas supply (EIA7)</t>
  </si>
  <si>
    <t>High renewables cost (EIA8)</t>
  </si>
  <si>
    <t>Low renewables cost (EIA9)</t>
  </si>
  <si>
    <t>NREL1</t>
  </si>
  <si>
    <t>NREL2</t>
  </si>
  <si>
    <t>NREL3</t>
  </si>
  <si>
    <t>EIA1</t>
  </si>
  <si>
    <t>EIA2</t>
  </si>
  <si>
    <t>EIA3</t>
  </si>
  <si>
    <t>EIA4</t>
  </si>
  <si>
    <t>EIA5</t>
  </si>
  <si>
    <t>EIA6</t>
  </si>
  <si>
    <t>EIA7</t>
  </si>
  <si>
    <t>EIA8</t>
  </si>
  <si>
    <t>EIA9</t>
  </si>
  <si>
    <t>Diesel price</t>
  </si>
  <si>
    <t>$ per kg</t>
  </si>
  <si>
    <t>$ per gal</t>
  </si>
  <si>
    <t>$/t Cu</t>
  </si>
  <si>
    <t>Diesel price, $/gal</t>
  </si>
  <si>
    <t>H2 price, $/kg H2</t>
  </si>
  <si>
    <t>Diesel price, $/t Cu</t>
  </si>
  <si>
    <t>Amount, kg fuel/t Cu</t>
  </si>
  <si>
    <t>CO2 emissions kg CO2/t Cu</t>
  </si>
  <si>
    <t>Diesel</t>
  </si>
  <si>
    <t>Mass H2</t>
  </si>
  <si>
    <t>Hydrogen price</t>
  </si>
  <si>
    <t>NG price</t>
  </si>
  <si>
    <t>Diesel price, $/kg</t>
  </si>
  <si>
    <r>
      <t>$60/t CO</t>
    </r>
    <r>
      <rPr>
        <vertAlign val="subscript"/>
        <sz val="11"/>
        <color indexed="8"/>
        <rFont val="Calibri"/>
        <family val="2"/>
        <charset val="204"/>
      </rPr>
      <t>2</t>
    </r>
  </si>
  <si>
    <r>
      <t>$100/t CO</t>
    </r>
    <r>
      <rPr>
        <vertAlign val="subscript"/>
        <sz val="11"/>
        <color indexed="8"/>
        <rFont val="Calibri"/>
        <family val="2"/>
        <charset val="204"/>
      </rPr>
      <t>2</t>
    </r>
  </si>
  <si>
    <r>
      <t>$250/t CO</t>
    </r>
    <r>
      <rPr>
        <vertAlign val="subscript"/>
        <sz val="11"/>
        <color indexed="8"/>
        <rFont val="Calibri"/>
        <family val="2"/>
        <charset val="204"/>
      </rPr>
      <t>2</t>
    </r>
  </si>
  <si>
    <t>Name: Sensitivity of break-even hydrogen cost-price compared to diesel in mining trucks under PTC policy</t>
  </si>
  <si>
    <t>Name: Sensitivity of break-even hydrogen cost-price compared to diesel in mining trucks under 45Q policy</t>
  </si>
  <si>
    <t>Name: Calculation of break-even hydrogen cost-price compared to diesel in mining trucks under PTC policy. Diesel-to-hydrogen ratio 1:1</t>
  </si>
  <si>
    <t>Name: Calculation of break-even hydrogen cost-price compared to diesel in mining trucks under PTC policy. Diesel-to-hydrogen ratio 0.8:1</t>
  </si>
  <si>
    <t>Name: Calculation of break-even hydrogen cost-price compared to diesel in mining trucks under PTC policy. Diesel-to-hydrogen ratio 1.25:1</t>
  </si>
  <si>
    <t>Name: Calculation of break-even hydrogen cost-price compared to diesel in mining trucks under 45Q policy. Diesel-to-hydrogen ratio 0.8:1</t>
  </si>
  <si>
    <t>Name: Calculation of break-even hydrogen cost-price compared to diesel in mining trucks under 45Q policy. Diesel-to-hydrogen ratio 1:1</t>
  </si>
  <si>
    <t>Name: Calculation of break-even hydrogen cost-price compared to diesel in mining trucks under 45Q policy. Diesel-to-hydrogen ratio 1.25:1</t>
  </si>
  <si>
    <t>No 45Q tax credit</t>
  </si>
  <si>
    <t>$60/t CO2</t>
  </si>
  <si>
    <t>$100/t CO2</t>
  </si>
  <si>
    <t>$250/t CO2</t>
  </si>
  <si>
    <t>Calculated values are shown in SI Tables 9.3-9.5</t>
  </si>
  <si>
    <t>Calculated values are shown in SI Tables 9-9.2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</si>
</sst>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00"/>
    <numFmt numFmtId="165" formatCode="0.0"/>
    <numFmt numFmtId="166" formatCode="#,##0.0"/>
    <numFmt numFmtId="167" formatCode="#,##0.0000"/>
    <numFmt numFmtId="168" formatCode="0.0%"/>
    <numFmt numFmtId="169" formatCode="&quot;$&quot;#,##0.0_);\(&quot;$&quot;#,##0.0\)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ptos Narrow"/>
      <family val="2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u/>
      <sz val="11"/>
      <color theme="1"/>
      <name val="Aptos Narrow"/>
      <family val="2"/>
    </font>
    <font>
      <b/>
      <sz val="11"/>
      <color theme="1"/>
      <name val="Calibri"/>
      <family val="2"/>
      <charset val="204"/>
      <scheme val="minor"/>
    </font>
    <font>
      <u/>
      <sz val="10"/>
      <color theme="10"/>
      <name val="Calibri"/>
      <family val="2"/>
      <scheme val="minor"/>
    </font>
    <font>
      <vertAlign val="subscript"/>
      <sz val="11"/>
      <color theme="1"/>
      <name val="Calibri"/>
      <family val="2"/>
      <charset val="204"/>
      <scheme val="minor"/>
    </font>
    <font>
      <sz val="8"/>
      <color theme="1"/>
      <name val="Times New Roman"/>
      <family val="2"/>
    </font>
    <font>
      <u/>
      <sz val="8"/>
      <color theme="10"/>
      <name val="Times New Roman"/>
      <family val="2"/>
    </font>
    <font>
      <sz val="9"/>
      <color rgb="FF333333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b/>
      <sz val="14"/>
      <name val="Arial"/>
      <family val="2"/>
    </font>
    <font>
      <sz val="10"/>
      <name val="Calibri"/>
      <family val="2"/>
      <charset val="204"/>
      <scheme val="minor"/>
    </font>
    <font>
      <sz val="10"/>
      <name val="Arial"/>
      <family val="2"/>
    </font>
    <font>
      <sz val="10"/>
      <color theme="0"/>
      <name val="Calibri"/>
      <family val="2"/>
      <charset val="204"/>
      <scheme val="minor"/>
    </font>
    <font>
      <vertAlign val="subscript"/>
      <sz val="11"/>
      <color indexed="8"/>
      <name val="Calibri"/>
      <family val="2"/>
      <charset val="204"/>
    </font>
    <font>
      <sz val="10"/>
      <name val="Calibri"/>
      <family val="2"/>
      <scheme val="minor"/>
    </font>
    <font>
      <i/>
      <sz val="10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265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0" fillId="0" borderId="5" xfId="0" applyBorder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" xfId="0" applyFont="1" applyBorder="1"/>
    <xf numFmtId="0" fontId="1" fillId="0" borderId="6" xfId="0" applyFont="1" applyBorder="1"/>
    <xf numFmtId="0" fontId="1" fillId="0" borderId="5" xfId="0" applyFont="1" applyBorder="1"/>
    <xf numFmtId="2" fontId="0" fillId="0" borderId="1" xfId="0" applyNumberFormat="1" applyBorder="1"/>
    <xf numFmtId="0" fontId="1" fillId="0" borderId="7" xfId="0" applyFont="1" applyBorder="1"/>
    <xf numFmtId="2" fontId="3" fillId="0" borderId="8" xfId="0" applyNumberFormat="1" applyFont="1" applyBorder="1"/>
    <xf numFmtId="0" fontId="1" fillId="0" borderId="9" xfId="0" applyFont="1" applyBorder="1"/>
    <xf numFmtId="2" fontId="0" fillId="0" borderId="0" xfId="0" applyNumberFormat="1"/>
    <xf numFmtId="2" fontId="3" fillId="0" borderId="1" xfId="0" applyNumberFormat="1" applyFont="1" applyBorder="1"/>
    <xf numFmtId="2" fontId="3" fillId="0" borderId="6" xfId="0" applyNumberFormat="1" applyFont="1" applyBorder="1"/>
    <xf numFmtId="0" fontId="1" fillId="0" borderId="0" xfId="0" applyFont="1"/>
    <xf numFmtId="2" fontId="3" fillId="0" borderId="9" xfId="0" applyNumberFormat="1" applyFont="1" applyBorder="1"/>
    <xf numFmtId="2" fontId="3" fillId="0" borderId="0" xfId="0" applyNumberFormat="1" applyFont="1"/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4" xfId="0" applyFont="1" applyBorder="1"/>
    <xf numFmtId="0" fontId="1" fillId="0" borderId="15" xfId="0" applyFont="1" applyBorder="1"/>
    <xf numFmtId="0" fontId="0" fillId="0" borderId="16" xfId="0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4" fillId="0" borderId="17" xfId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0" fillId="0" borderId="20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left" vertical="center"/>
    </xf>
    <xf numFmtId="165" fontId="0" fillId="0" borderId="1" xfId="0" applyNumberFormat="1" applyBorder="1"/>
    <xf numFmtId="0" fontId="1" fillId="0" borderId="4" xfId="0" applyFont="1" applyBorder="1" applyAlignment="1">
      <alignment horizontal="center" vertical="center"/>
    </xf>
    <xf numFmtId="0" fontId="7" fillId="0" borderId="1" xfId="2" applyBorder="1"/>
    <xf numFmtId="0" fontId="7" fillId="0" borderId="0" xfId="2"/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7" fillId="0" borderId="0" xfId="2" applyNumberFormat="1"/>
    <xf numFmtId="0" fontId="0" fillId="5" borderId="1" xfId="0" applyFill="1" applyBorder="1"/>
    <xf numFmtId="0" fontId="6" fillId="0" borderId="0" xfId="0" applyFont="1" applyAlignment="1">
      <alignment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1" fontId="0" fillId="0" borderId="1" xfId="0" applyNumberFormat="1" applyBorder="1"/>
    <xf numFmtId="0" fontId="9" fillId="7" borderId="21" xfId="0" applyFont="1" applyFill="1" applyBorder="1" applyAlignment="1">
      <alignment horizontal="left" vertical="top" wrapText="1"/>
    </xf>
    <xf numFmtId="0" fontId="7" fillId="0" borderId="1" xfId="2" applyBorder="1" applyAlignment="1">
      <alignment horizontal="center"/>
    </xf>
    <xf numFmtId="0" fontId="0" fillId="0" borderId="1" xfId="0" applyBorder="1" applyAlignment="1">
      <alignment horizontal="center"/>
    </xf>
    <xf numFmtId="0" fontId="6" fillId="8" borderId="25" xfId="0" applyFont="1" applyFill="1" applyBorder="1" applyAlignment="1">
      <alignment vertical="center" wrapText="1"/>
    </xf>
    <xf numFmtId="0" fontId="6" fillId="8" borderId="10" xfId="0" applyFont="1" applyFill="1" applyBorder="1" applyAlignment="1">
      <alignment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165" fontId="8" fillId="0" borderId="24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5" borderId="28" xfId="0" applyFill="1" applyBorder="1"/>
    <xf numFmtId="0" fontId="0" fillId="5" borderId="27" xfId="0" applyFill="1" applyBorder="1"/>
    <xf numFmtId="0" fontId="0" fillId="5" borderId="0" xfId="0" applyFill="1"/>
    <xf numFmtId="0" fontId="0" fillId="5" borderId="20" xfId="0" applyFill="1" applyBorder="1"/>
    <xf numFmtId="0" fontId="8" fillId="11" borderId="23" xfId="0" applyFont="1" applyFill="1" applyBorder="1" applyAlignment="1">
      <alignment horizontal="left" vertical="center" wrapText="1"/>
    </xf>
    <xf numFmtId="0" fontId="8" fillId="11" borderId="24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4" fillId="0" borderId="0" xfId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14" fillId="0" borderId="1" xfId="3" applyBorder="1"/>
    <xf numFmtId="0" fontId="14" fillId="0" borderId="0" xfId="3"/>
    <xf numFmtId="0" fontId="14" fillId="0" borderId="1" xfId="3" applyBorder="1" applyAlignment="1">
      <alignment horizontal="center" vertical="center" wrapText="1"/>
    </xf>
    <xf numFmtId="0" fontId="14" fillId="0" borderId="20" xfId="3" applyBorder="1" applyAlignment="1">
      <alignment horizontal="center" vertical="center" wrapText="1"/>
    </xf>
    <xf numFmtId="0" fontId="14" fillId="0" borderId="31" xfId="3" applyBorder="1" applyAlignment="1">
      <alignment horizontal="center" vertical="center" wrapText="1"/>
    </xf>
    <xf numFmtId="0" fontId="14" fillId="0" borderId="5" xfId="3" applyBorder="1" applyAlignment="1">
      <alignment horizontal="center" vertical="center" wrapText="1"/>
    </xf>
    <xf numFmtId="3" fontId="14" fillId="0" borderId="0" xfId="3" applyNumberFormat="1"/>
    <xf numFmtId="3" fontId="14" fillId="0" borderId="1" xfId="3" applyNumberFormat="1" applyBorder="1"/>
    <xf numFmtId="9" fontId="0" fillId="0" borderId="0" xfId="4" applyFont="1"/>
    <xf numFmtId="0" fontId="14" fillId="15" borderId="20" xfId="3" applyFill="1" applyBorder="1" applyAlignment="1">
      <alignment horizontal="center" vertical="center"/>
    </xf>
    <xf numFmtId="166" fontId="14" fillId="0" borderId="1" xfId="3" applyNumberFormat="1" applyBorder="1"/>
    <xf numFmtId="167" fontId="14" fillId="0" borderId="1" xfId="3" applyNumberFormat="1" applyBorder="1"/>
    <xf numFmtId="0" fontId="14" fillId="0" borderId="16" xfId="3" applyBorder="1" applyAlignment="1">
      <alignment wrapText="1"/>
    </xf>
    <xf numFmtId="166" fontId="14" fillId="0" borderId="13" xfId="3" applyNumberFormat="1" applyBorder="1"/>
    <xf numFmtId="166" fontId="14" fillId="0" borderId="32" xfId="3" applyNumberFormat="1" applyBorder="1"/>
    <xf numFmtId="166" fontId="14" fillId="0" borderId="33" xfId="3" applyNumberFormat="1" applyBorder="1"/>
    <xf numFmtId="166" fontId="14" fillId="0" borderId="24" xfId="3" applyNumberFormat="1" applyBorder="1"/>
    <xf numFmtId="0" fontId="17" fillId="0" borderId="1" xfId="3" applyFont="1" applyBorder="1"/>
    <xf numFmtId="0" fontId="17" fillId="0" borderId="1" xfId="3" applyFont="1" applyBorder="1" applyAlignment="1">
      <alignment wrapText="1"/>
    </xf>
    <xf numFmtId="0" fontId="6" fillId="9" borderId="21" xfId="0" applyFont="1" applyFill="1" applyBorder="1" applyAlignment="1">
      <alignment horizontal="center" vertical="center" wrapText="1"/>
    </xf>
    <xf numFmtId="0" fontId="14" fillId="0" borderId="0" xfId="3" applyAlignment="1">
      <alignment horizontal="center" vertical="center" wrapText="1"/>
    </xf>
    <xf numFmtId="9" fontId="0" fillId="0" borderId="1" xfId="4" applyFont="1" applyBorder="1"/>
    <xf numFmtId="165" fontId="16" fillId="0" borderId="1" xfId="3" applyNumberFormat="1" applyFont="1" applyBorder="1"/>
    <xf numFmtId="0" fontId="15" fillId="0" borderId="1" xfId="5" applyBorder="1" applyAlignment="1">
      <alignment wrapText="1"/>
    </xf>
    <xf numFmtId="0" fontId="19" fillId="16" borderId="34" xfId="3" applyFont="1" applyFill="1" applyBorder="1" applyAlignment="1">
      <alignment wrapText="1"/>
    </xf>
    <xf numFmtId="166" fontId="14" fillId="0" borderId="3" xfId="3" applyNumberFormat="1" applyBorder="1"/>
    <xf numFmtId="166" fontId="14" fillId="0" borderId="4" xfId="3" applyNumberFormat="1" applyBorder="1"/>
    <xf numFmtId="0" fontId="14" fillId="0" borderId="35" xfId="3" applyBorder="1" applyAlignment="1">
      <alignment wrapText="1"/>
    </xf>
    <xf numFmtId="166" fontId="14" fillId="0" borderId="6" xfId="3" applyNumberFormat="1" applyBorder="1"/>
    <xf numFmtId="0" fontId="14" fillId="0" borderId="13" xfId="3" applyBorder="1"/>
    <xf numFmtId="0" fontId="14" fillId="0" borderId="32" xfId="3" applyBorder="1"/>
    <xf numFmtId="0" fontId="14" fillId="3" borderId="33" xfId="3" applyFill="1" applyBorder="1"/>
    <xf numFmtId="166" fontId="14" fillId="3" borderId="36" xfId="3" applyNumberFormat="1" applyFill="1" applyBorder="1"/>
    <xf numFmtId="166" fontId="14" fillId="3" borderId="24" xfId="3" applyNumberFormat="1" applyFill="1" applyBorder="1"/>
    <xf numFmtId="166" fontId="14" fillId="0" borderId="19" xfId="3" applyNumberFormat="1" applyBorder="1"/>
    <xf numFmtId="0" fontId="14" fillId="0" borderId="11" xfId="3" applyBorder="1"/>
    <xf numFmtId="0" fontId="14" fillId="0" borderId="12" xfId="3" applyBorder="1"/>
    <xf numFmtId="0" fontId="14" fillId="0" borderId="5" xfId="3" applyBorder="1"/>
    <xf numFmtId="166" fontId="14" fillId="3" borderId="7" xfId="3" applyNumberFormat="1" applyFill="1" applyBorder="1"/>
    <xf numFmtId="166" fontId="14" fillId="3" borderId="8" xfId="3" applyNumberFormat="1" applyFill="1" applyBorder="1"/>
    <xf numFmtId="166" fontId="14" fillId="3" borderId="9" xfId="3" applyNumberFormat="1" applyFill="1" applyBorder="1"/>
    <xf numFmtId="3" fontId="14" fillId="0" borderId="1" xfId="3" applyNumberForma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17" borderId="20" xfId="0" applyFill="1" applyBorder="1" applyAlignment="1">
      <alignment wrapText="1"/>
    </xf>
    <xf numFmtId="0" fontId="0" fillId="12" borderId="20" xfId="0" applyFill="1" applyBorder="1" applyAlignment="1">
      <alignment wrapText="1"/>
    </xf>
    <xf numFmtId="0" fontId="0" fillId="6" borderId="20" xfId="0" applyFill="1" applyBorder="1" applyAlignment="1">
      <alignment wrapText="1"/>
    </xf>
    <xf numFmtId="0" fontId="0" fillId="18" borderId="20" xfId="0" applyFill="1" applyBorder="1" applyAlignment="1">
      <alignment wrapText="1"/>
    </xf>
    <xf numFmtId="0" fontId="0" fillId="6" borderId="38" xfId="0" applyFill="1" applyBorder="1" applyAlignment="1">
      <alignment wrapText="1"/>
    </xf>
    <xf numFmtId="0" fontId="1" fillId="11" borderId="7" xfId="0" applyFont="1" applyFill="1" applyBorder="1" applyAlignment="1">
      <alignment vertical="center" wrapText="1"/>
    </xf>
    <xf numFmtId="0" fontId="1" fillId="11" borderId="8" xfId="0" applyFont="1" applyFill="1" applyBorder="1" applyAlignment="1">
      <alignment vertical="center" wrapText="1"/>
    </xf>
    <xf numFmtId="0" fontId="1" fillId="11" borderId="9" xfId="0" applyFont="1" applyFill="1" applyBorder="1" applyAlignment="1">
      <alignment vertical="center" wrapText="1"/>
    </xf>
    <xf numFmtId="169" fontId="0" fillId="18" borderId="5" xfId="7" applyNumberFormat="1" applyFont="1" applyFill="1" applyBorder="1" applyAlignment="1">
      <alignment horizontal="center" vertical="center" wrapText="1"/>
    </xf>
    <xf numFmtId="169" fontId="0" fillId="18" borderId="1" xfId="7" applyNumberFormat="1" applyFont="1" applyFill="1" applyBorder="1" applyAlignment="1">
      <alignment horizontal="center" vertical="center" wrapText="1"/>
    </xf>
    <xf numFmtId="169" fontId="0" fillId="18" borderId="6" xfId="7" applyNumberFormat="1" applyFont="1" applyFill="1" applyBorder="1" applyAlignment="1">
      <alignment horizontal="center" vertical="center" wrapText="1"/>
    </xf>
    <xf numFmtId="169" fontId="0" fillId="18" borderId="43" xfId="7" applyNumberFormat="1" applyFont="1" applyFill="1" applyBorder="1" applyAlignment="1">
      <alignment horizontal="center" vertical="center" wrapText="1"/>
    </xf>
    <xf numFmtId="169" fontId="0" fillId="12" borderId="5" xfId="7" applyNumberFormat="1" applyFont="1" applyFill="1" applyBorder="1" applyAlignment="1">
      <alignment horizontal="center" vertical="center" wrapText="1"/>
    </xf>
    <xf numFmtId="169" fontId="0" fillId="12" borderId="1" xfId="7" applyNumberFormat="1" applyFont="1" applyFill="1" applyBorder="1" applyAlignment="1">
      <alignment horizontal="center" vertical="center" wrapText="1"/>
    </xf>
    <xf numFmtId="169" fontId="0" fillId="12" borderId="6" xfId="7" applyNumberFormat="1" applyFont="1" applyFill="1" applyBorder="1" applyAlignment="1">
      <alignment horizontal="center" vertical="center" wrapText="1"/>
    </xf>
    <xf numFmtId="169" fontId="0" fillId="12" borderId="43" xfId="7" applyNumberFormat="1" applyFont="1" applyFill="1" applyBorder="1" applyAlignment="1">
      <alignment horizontal="center" vertical="center" wrapText="1"/>
    </xf>
    <xf numFmtId="169" fontId="0" fillId="6" borderId="5" xfId="7" applyNumberFormat="1" applyFont="1" applyFill="1" applyBorder="1" applyAlignment="1">
      <alignment horizontal="center" vertical="center" wrapText="1"/>
    </xf>
    <xf numFmtId="169" fontId="0" fillId="6" borderId="1" xfId="7" applyNumberFormat="1" applyFont="1" applyFill="1" applyBorder="1" applyAlignment="1">
      <alignment horizontal="center" vertical="center" wrapText="1"/>
    </xf>
    <xf numFmtId="169" fontId="0" fillId="6" borderId="6" xfId="7" applyNumberFormat="1" applyFont="1" applyFill="1" applyBorder="1" applyAlignment="1">
      <alignment horizontal="center" vertical="center" wrapText="1"/>
    </xf>
    <xf numFmtId="169" fontId="0" fillId="6" borderId="43" xfId="7" applyNumberFormat="1" applyFont="1" applyFill="1" applyBorder="1" applyAlignment="1">
      <alignment horizontal="center" vertical="center" wrapText="1"/>
    </xf>
    <xf numFmtId="169" fontId="0" fillId="6" borderId="39" xfId="7" applyNumberFormat="1" applyFont="1" applyFill="1" applyBorder="1" applyAlignment="1">
      <alignment horizontal="center" vertical="center" wrapText="1"/>
    </xf>
    <xf numFmtId="169" fontId="0" fillId="6" borderId="14" xfId="7" applyNumberFormat="1" applyFont="1" applyFill="1" applyBorder="1" applyAlignment="1">
      <alignment horizontal="center" vertical="center" wrapText="1"/>
    </xf>
    <xf numFmtId="169" fontId="0" fillId="6" borderId="15" xfId="7" applyNumberFormat="1" applyFont="1" applyFill="1" applyBorder="1" applyAlignment="1">
      <alignment horizontal="center" vertical="center" wrapText="1"/>
    </xf>
    <xf numFmtId="169" fontId="0" fillId="6" borderId="44" xfId="7" applyNumberFormat="1" applyFont="1" applyFill="1" applyBorder="1" applyAlignment="1">
      <alignment horizontal="center" vertical="center" wrapText="1"/>
    </xf>
    <xf numFmtId="168" fontId="0" fillId="0" borderId="35" xfId="6" applyNumberFormat="1" applyFont="1" applyBorder="1" applyAlignment="1">
      <alignment horizontal="center" vertical="center" wrapText="1"/>
    </xf>
    <xf numFmtId="168" fontId="0" fillId="0" borderId="20" xfId="6" applyNumberFormat="1" applyFont="1" applyBorder="1" applyAlignment="1">
      <alignment horizontal="center" vertical="center" wrapText="1"/>
    </xf>
    <xf numFmtId="168" fontId="0" fillId="0" borderId="6" xfId="6" applyNumberFormat="1" applyFont="1" applyBorder="1" applyAlignment="1">
      <alignment horizontal="center" vertical="center" wrapText="1"/>
    </xf>
    <xf numFmtId="168" fontId="0" fillId="0" borderId="31" xfId="6" applyNumberFormat="1" applyFont="1" applyBorder="1" applyAlignment="1">
      <alignment horizontal="center" vertical="center" wrapText="1"/>
    </xf>
    <xf numFmtId="168" fontId="0" fillId="0" borderId="1" xfId="6" applyNumberFormat="1" applyFont="1" applyBorder="1" applyAlignment="1">
      <alignment horizontal="center" vertical="center" wrapText="1"/>
    </xf>
    <xf numFmtId="168" fontId="0" fillId="0" borderId="42" xfId="6" applyNumberFormat="1" applyFont="1" applyBorder="1" applyAlignment="1">
      <alignment horizontal="center" vertical="center" wrapText="1"/>
    </xf>
    <xf numFmtId="168" fontId="0" fillId="0" borderId="7" xfId="6" applyNumberFormat="1" applyFont="1" applyBorder="1" applyAlignment="1">
      <alignment horizontal="center" vertical="center" wrapText="1"/>
    </xf>
    <xf numFmtId="168" fontId="0" fillId="0" borderId="8" xfId="6" applyNumberFormat="1" applyFont="1" applyBorder="1" applyAlignment="1">
      <alignment horizontal="center" vertical="center" wrapText="1"/>
    </xf>
    <xf numFmtId="168" fontId="0" fillId="0" borderId="9" xfId="6" applyNumberFormat="1" applyFont="1" applyBorder="1" applyAlignment="1">
      <alignment horizontal="center" vertical="center" wrapText="1"/>
    </xf>
    <xf numFmtId="168" fontId="0" fillId="0" borderId="45" xfId="6" applyNumberFormat="1" applyFont="1" applyBorder="1" applyAlignment="1">
      <alignment horizontal="center" vertical="center" wrapText="1"/>
    </xf>
    <xf numFmtId="0" fontId="0" fillId="11" borderId="20" xfId="0" applyFill="1" applyBorder="1" applyAlignment="1">
      <alignment wrapText="1"/>
    </xf>
    <xf numFmtId="168" fontId="0" fillId="11" borderId="5" xfId="6" applyNumberFormat="1" applyFont="1" applyFill="1" applyBorder="1" applyAlignment="1">
      <alignment horizontal="center" vertical="center" wrapText="1"/>
    </xf>
    <xf numFmtId="168" fontId="0" fillId="11" borderId="1" xfId="6" applyNumberFormat="1" applyFont="1" applyFill="1" applyBorder="1" applyAlignment="1">
      <alignment horizontal="center" vertical="center" wrapText="1"/>
    </xf>
    <xf numFmtId="168" fontId="0" fillId="11" borderId="6" xfId="6" applyNumberFormat="1" applyFont="1" applyFill="1" applyBorder="1" applyAlignment="1">
      <alignment horizontal="center" vertical="center" wrapText="1"/>
    </xf>
    <xf numFmtId="168" fontId="0" fillId="11" borderId="43" xfId="6" applyNumberFormat="1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wrapText="1"/>
    </xf>
    <xf numFmtId="0" fontId="8" fillId="0" borderId="21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left" vertical="top" wrapText="1"/>
    </xf>
    <xf numFmtId="0" fontId="14" fillId="12" borderId="27" xfId="3" applyFill="1" applyBorder="1" applyAlignment="1">
      <alignment horizontal="center"/>
    </xf>
    <xf numFmtId="0" fontId="14" fillId="12" borderId="29" xfId="3" applyFill="1" applyBorder="1" applyAlignment="1">
      <alignment horizontal="center"/>
    </xf>
    <xf numFmtId="0" fontId="14" fillId="13" borderId="30" xfId="3" applyFill="1" applyBorder="1" applyAlignment="1">
      <alignment horizontal="center"/>
    </xf>
    <xf numFmtId="0" fontId="14" fillId="13" borderId="27" xfId="3" applyFill="1" applyBorder="1" applyAlignment="1">
      <alignment horizontal="center"/>
    </xf>
    <xf numFmtId="0" fontId="14" fillId="13" borderId="29" xfId="3" applyFill="1" applyBorder="1" applyAlignment="1">
      <alignment horizontal="center"/>
    </xf>
    <xf numFmtId="0" fontId="14" fillId="14" borderId="30" xfId="3" applyFill="1" applyBorder="1" applyAlignment="1">
      <alignment horizontal="center"/>
    </xf>
    <xf numFmtId="0" fontId="14" fillId="14" borderId="27" xfId="3" applyFill="1" applyBorder="1" applyAlignment="1">
      <alignment horizontal="center"/>
    </xf>
    <xf numFmtId="0" fontId="14" fillId="14" borderId="29" xfId="3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19" borderId="15" xfId="0" applyFont="1" applyFill="1" applyBorder="1" applyAlignment="1">
      <alignment horizontal="left" vertical="center" wrapText="1"/>
    </xf>
    <xf numFmtId="0" fontId="0" fillId="19" borderId="37" xfId="0" applyFill="1" applyBorder="1" applyAlignment="1">
      <alignment horizontal="left" vertical="center" wrapText="1"/>
    </xf>
    <xf numFmtId="169" fontId="0" fillId="0" borderId="35" xfId="7" applyNumberFormat="1" applyFont="1" applyBorder="1" applyAlignment="1">
      <alignment horizontal="center" vertical="center" wrapText="1"/>
    </xf>
    <xf numFmtId="169" fontId="0" fillId="0" borderId="31" xfId="7" applyNumberFormat="1" applyFont="1" applyBorder="1" applyAlignment="1">
      <alignment horizontal="center" vertical="center" wrapText="1"/>
    </xf>
    <xf numFmtId="169" fontId="0" fillId="0" borderId="42" xfId="7" applyNumberFormat="1" applyFont="1" applyBorder="1" applyAlignment="1">
      <alignment horizontal="center" vertical="center" wrapText="1"/>
    </xf>
    <xf numFmtId="169" fontId="1" fillId="12" borderId="35" xfId="7" applyNumberFormat="1" applyFont="1" applyFill="1" applyBorder="1" applyAlignment="1">
      <alignment horizontal="center" vertical="center" wrapText="1"/>
    </xf>
    <xf numFmtId="169" fontId="1" fillId="12" borderId="31" xfId="7" applyNumberFormat="1" applyFont="1" applyFill="1" applyBorder="1" applyAlignment="1">
      <alignment horizontal="center" vertical="center" wrapText="1"/>
    </xf>
    <xf numFmtId="169" fontId="1" fillId="12" borderId="42" xfId="7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9" fontId="0" fillId="17" borderId="34" xfId="7" applyNumberFormat="1" applyFont="1" applyFill="1" applyBorder="1" applyAlignment="1">
      <alignment horizontal="center" vertical="center" wrapText="1"/>
    </xf>
    <xf numFmtId="169" fontId="0" fillId="17" borderId="40" xfId="7" applyNumberFormat="1" applyFont="1" applyFill="1" applyBorder="1" applyAlignment="1">
      <alignment horizontal="center" vertical="center" wrapText="1"/>
    </xf>
    <xf numFmtId="169" fontId="0" fillId="17" borderId="41" xfId="7" applyNumberFormat="1" applyFont="1" applyFill="1" applyBorder="1" applyAlignment="1">
      <alignment horizontal="center" vertical="center" wrapText="1"/>
    </xf>
    <xf numFmtId="169" fontId="0" fillId="17" borderId="35" xfId="7" applyNumberFormat="1" applyFont="1" applyFill="1" applyBorder="1" applyAlignment="1">
      <alignment horizontal="center" vertical="center" wrapText="1"/>
    </xf>
    <xf numFmtId="169" fontId="0" fillId="17" borderId="31" xfId="7" applyNumberFormat="1" applyFont="1" applyFill="1" applyBorder="1" applyAlignment="1">
      <alignment horizontal="center" vertical="center" wrapText="1"/>
    </xf>
    <xf numFmtId="169" fontId="0" fillId="17" borderId="42" xfId="7" applyNumberFormat="1" applyFont="1" applyFill="1" applyBorder="1" applyAlignment="1">
      <alignment horizontal="center" vertical="center" wrapText="1"/>
    </xf>
    <xf numFmtId="1" fontId="14" fillId="0" borderId="1" xfId="3" applyNumberFormat="1" applyBorder="1"/>
    <xf numFmtId="0" fontId="19" fillId="16" borderId="30" xfId="3" applyFont="1" applyFill="1" applyBorder="1" applyAlignment="1">
      <alignment wrapText="1"/>
    </xf>
    <xf numFmtId="0" fontId="23" fillId="0" borderId="5" xfId="3" applyFont="1" applyBorder="1" applyAlignment="1">
      <alignment horizontal="center" vertical="center" wrapText="1"/>
    </xf>
    <xf numFmtId="0" fontId="17" fillId="12" borderId="1" xfId="3" applyFont="1" applyFill="1" applyBorder="1" applyAlignment="1">
      <alignment horizontal="center"/>
    </xf>
    <xf numFmtId="0" fontId="17" fillId="13" borderId="1" xfId="3" applyFont="1" applyFill="1" applyBorder="1" applyAlignment="1">
      <alignment horizontal="center"/>
    </xf>
    <xf numFmtId="0" fontId="17" fillId="14" borderId="1" xfId="3" applyFont="1" applyFill="1" applyBorder="1" applyAlignment="1">
      <alignment horizontal="center"/>
    </xf>
    <xf numFmtId="0" fontId="17" fillId="0" borderId="1" xfId="3" applyFont="1" applyBorder="1" applyAlignment="1">
      <alignment horizontal="center" vertical="center" wrapText="1"/>
    </xf>
    <xf numFmtId="0" fontId="17" fillId="0" borderId="20" xfId="3" applyFont="1" applyBorder="1" applyAlignment="1">
      <alignment wrapText="1"/>
    </xf>
    <xf numFmtId="1" fontId="17" fillId="0" borderId="1" xfId="3" applyNumberFormat="1" applyFont="1" applyBorder="1" applyAlignment="1">
      <alignment horizontal="center"/>
    </xf>
    <xf numFmtId="0" fontId="17" fillId="0" borderId="1" xfId="3" applyFont="1" applyBorder="1" applyAlignment="1">
      <alignment horizontal="center"/>
    </xf>
    <xf numFmtId="0" fontId="0" fillId="0" borderId="1" xfId="0" applyBorder="1" applyAlignment="1">
      <alignment wrapText="1"/>
    </xf>
    <xf numFmtId="0" fontId="6" fillId="10" borderId="46" xfId="0" applyFont="1" applyFill="1" applyBorder="1" applyAlignment="1">
      <alignment horizontal="center" vertical="center" wrapText="1"/>
    </xf>
    <xf numFmtId="1" fontId="8" fillId="0" borderId="3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left" vertical="center" wrapText="1"/>
    </xf>
    <xf numFmtId="2" fontId="7" fillId="0" borderId="0" xfId="2" applyNumberFormat="1" applyBorder="1"/>
    <xf numFmtId="0" fontId="24" fillId="0" borderId="0" xfId="2" applyFont="1"/>
    <xf numFmtId="0" fontId="25" fillId="0" borderId="1" xfId="2" applyFont="1" applyBorder="1"/>
    <xf numFmtId="0" fontId="25" fillId="0" borderId="0" xfId="2" applyFont="1"/>
    <xf numFmtId="0" fontId="25" fillId="5" borderId="1" xfId="2" applyFont="1" applyFill="1" applyBorder="1" applyAlignment="1">
      <alignment horizontal="center"/>
    </xf>
    <xf numFmtId="0" fontId="26" fillId="5" borderId="1" xfId="2" applyFont="1" applyFill="1" applyBorder="1"/>
    <xf numFmtId="0" fontId="26" fillId="5" borderId="1" xfId="2" applyFont="1" applyFill="1" applyBorder="1" applyAlignment="1">
      <alignment horizontal="center"/>
    </xf>
    <xf numFmtId="0" fontId="25" fillId="0" borderId="1" xfId="2" applyFont="1" applyBorder="1" applyAlignment="1">
      <alignment wrapText="1"/>
    </xf>
    <xf numFmtId="0" fontId="25" fillId="0" borderId="0" xfId="2" applyFont="1" applyAlignment="1">
      <alignment wrapText="1"/>
    </xf>
    <xf numFmtId="165" fontId="25" fillId="0" borderId="1" xfId="2" applyNumberFormat="1" applyFont="1" applyBorder="1"/>
    <xf numFmtId="0" fontId="25" fillId="0" borderId="20" xfId="2" applyFont="1" applyBorder="1"/>
    <xf numFmtId="0" fontId="25" fillId="0" borderId="43" xfId="2" applyFont="1" applyBorder="1"/>
    <xf numFmtId="0" fontId="27" fillId="0" borderId="0" xfId="2" applyFont="1"/>
    <xf numFmtId="165" fontId="27" fillId="0" borderId="0" xfId="2" applyNumberFormat="1" applyFont="1"/>
    <xf numFmtId="0" fontId="25" fillId="5" borderId="28" xfId="2" applyFont="1" applyFill="1" applyBorder="1" applyAlignment="1">
      <alignment horizontal="center"/>
    </xf>
    <xf numFmtId="0" fontId="25" fillId="5" borderId="27" xfId="2" applyFont="1" applyFill="1" applyBorder="1" applyAlignment="1">
      <alignment horizontal="center"/>
    </xf>
    <xf numFmtId="0" fontId="7" fillId="5" borderId="1" xfId="2" applyFill="1" applyBorder="1"/>
    <xf numFmtId="0" fontId="29" fillId="0" borderId="1" xfId="2" applyFont="1" applyBorder="1"/>
    <xf numFmtId="0" fontId="25" fillId="0" borderId="0" xfId="2" applyFont="1" applyFill="1"/>
    <xf numFmtId="0" fontId="25" fillId="5" borderId="20" xfId="2" applyFont="1" applyFill="1" applyBorder="1" applyAlignment="1">
      <alignment horizontal="center" wrapText="1"/>
    </xf>
    <xf numFmtId="0" fontId="25" fillId="5" borderId="43" xfId="2" applyFont="1" applyFill="1" applyBorder="1" applyAlignment="1">
      <alignment horizontal="center" wrapText="1"/>
    </xf>
    <xf numFmtId="0" fontId="26" fillId="5" borderId="20" xfId="2" applyFont="1" applyFill="1" applyBorder="1" applyAlignment="1">
      <alignment horizontal="center"/>
    </xf>
    <xf numFmtId="0" fontId="26" fillId="5" borderId="43" xfId="2" applyFont="1" applyFill="1" applyBorder="1" applyAlignment="1">
      <alignment horizontal="center"/>
    </xf>
    <xf numFmtId="0" fontId="30" fillId="0" borderId="1" xfId="2" applyFont="1" applyBorder="1" applyAlignment="1">
      <alignment horizontal="left" vertical="top" wrapText="1"/>
    </xf>
    <xf numFmtId="0" fontId="26" fillId="5" borderId="20" xfId="2" applyFont="1" applyFill="1" applyBorder="1" applyAlignment="1">
      <alignment horizontal="center" wrapText="1"/>
    </xf>
    <xf numFmtId="0" fontId="26" fillId="5" borderId="43" xfId="2" applyFont="1" applyFill="1" applyBorder="1" applyAlignment="1">
      <alignment horizontal="center" wrapText="1"/>
    </xf>
    <xf numFmtId="0" fontId="7" fillId="0" borderId="0" xfId="2" applyAlignment="1">
      <alignment wrapText="1"/>
    </xf>
    <xf numFmtId="0" fontId="31" fillId="0" borderId="1" xfId="2" applyFont="1" applyBorder="1" applyAlignment="1">
      <alignment horizontal="left" vertical="top" wrapText="1"/>
    </xf>
    <xf numFmtId="0" fontId="32" fillId="0" borderId="0" xfId="2" applyFont="1" applyAlignment="1">
      <alignment horizontal="center"/>
    </xf>
  </cellXfs>
  <cellStyles count="8">
    <cellStyle name="Currency" xfId="7" builtinId="4"/>
    <cellStyle name="Hyperlink" xfId="1" builtinId="8"/>
    <cellStyle name="Hyperlink 2" xfId="5" xr:uid="{8B087880-0412-41AE-B0DB-7D733DE4DDDA}"/>
    <cellStyle name="Normal" xfId="0" builtinId="0"/>
    <cellStyle name="Normal 2" xfId="2" xr:uid="{CAD28D47-ED53-4AC1-A1B0-C165B8358771}"/>
    <cellStyle name="Normal 3" xfId="3" xr:uid="{D4A0206F-190B-40DF-A816-E07C32975BFF}"/>
    <cellStyle name="Percent" xfId="6" builtinId="5"/>
    <cellStyle name="Percent 2" xfId="4" xr:uid="{8624F0A4-F95A-43EF-907F-D9FE190FA0DE}"/>
  </cellStyles>
  <dxfs count="0"/>
  <tableStyles count="0" defaultTableStyle="TableStyleMedium2" defaultPivotStyle="PivotStyleLight16"/>
  <colors>
    <mruColors>
      <color rgb="FF7DDDFF"/>
      <color rgb="FF57D3FF"/>
      <color rgb="FFB8CBFA"/>
      <color rgb="FFF9B9F9"/>
      <color rgb="FFB3FBFF"/>
      <color rgb="FF8BF9FF"/>
      <color rgb="FF66FFFF"/>
      <color rgb="FFB7FFFF"/>
      <color rgb="FFCC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47442426247618E-2"/>
          <c:y val="2.9105176178323155E-2"/>
          <c:w val="0.87832861533700646"/>
          <c:h val="0.82472938383165451"/>
        </c:manualLayout>
      </c:layout>
      <c:areaChart>
        <c:grouping val="standard"/>
        <c:varyColors val="0"/>
        <c:ser>
          <c:idx val="10"/>
          <c:order val="8"/>
          <c:tx>
            <c:strRef>
              <c:f>'SI Table 2'!$A$119</c:f>
              <c:strCache>
                <c:ptCount val="1"/>
                <c:pt idx="0">
                  <c:v>Total projected CO2 emissions, Mt</c:v>
                </c:pt>
              </c:strCache>
            </c:strRef>
          </c:tx>
          <c:spPr>
            <a:pattFill prst="pct50">
              <a:fgClr>
                <a:schemeClr val="accent2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50000"/>
                  <a:alpha val="0"/>
                </a:schemeClr>
              </a:solidFill>
              <a:prstDash val="dash"/>
            </a:ln>
          </c:spPr>
          <c:val>
            <c:numRef>
              <c:f>'SI Table 2'!$B$119:$AL$119</c:f>
              <c:numCache>
                <c:formatCode>#,##0.0</c:formatCode>
                <c:ptCount val="37"/>
                <c:pt idx="0">
                  <c:v>26.81117379310345</c:v>
                </c:pt>
                <c:pt idx="1">
                  <c:v>52.931102504537201</c:v>
                </c:pt>
                <c:pt idx="2">
                  <c:v>78.220485081384027</c:v>
                </c:pt>
                <c:pt idx="3">
                  <c:v>116.42765171121845</c:v>
                </c:pt>
                <c:pt idx="4">
                  <c:v>62.680628733212338</c:v>
                </c:pt>
                <c:pt idx="5">
                  <c:v>64.985720537205069</c:v>
                </c:pt>
                <c:pt idx="6">
                  <c:v>61.412855782214159</c:v>
                </c:pt>
                <c:pt idx="7">
                  <c:v>73.322590214156079</c:v>
                </c:pt>
                <c:pt idx="8">
                  <c:v>61.600673814882022</c:v>
                </c:pt>
                <c:pt idx="9">
                  <c:v>55.978294301270424</c:v>
                </c:pt>
                <c:pt idx="10">
                  <c:v>74.406113989110708</c:v>
                </c:pt>
                <c:pt idx="11">
                  <c:v>55.005811513611604</c:v>
                </c:pt>
                <c:pt idx="12">
                  <c:v>70.65661890381125</c:v>
                </c:pt>
                <c:pt idx="13">
                  <c:v>59.168500050816697</c:v>
                </c:pt>
                <c:pt idx="14">
                  <c:v>104.54573562478964</c:v>
                </c:pt>
                <c:pt idx="15">
                  <c:v>140.20033428502168</c:v>
                </c:pt>
                <c:pt idx="16">
                  <c:v>70.817170540834852</c:v>
                </c:pt>
                <c:pt idx="17">
                  <c:v>76.722492675136138</c:v>
                </c:pt>
                <c:pt idx="18">
                  <c:v>66.945632014519063</c:v>
                </c:pt>
                <c:pt idx="19">
                  <c:v>85.055207433756806</c:v>
                </c:pt>
                <c:pt idx="20">
                  <c:v>68.78923365517241</c:v>
                </c:pt>
                <c:pt idx="21">
                  <c:v>62.534589386569863</c:v>
                </c:pt>
                <c:pt idx="22">
                  <c:v>84.952486127041766</c:v>
                </c:pt>
                <c:pt idx="23">
                  <c:v>60.36105987658803</c:v>
                </c:pt>
                <c:pt idx="24">
                  <c:v>83.380738584392006</c:v>
                </c:pt>
                <c:pt idx="25">
                  <c:v>76.596791869328484</c:v>
                </c:pt>
                <c:pt idx="26">
                  <c:v>169.42801975261804</c:v>
                </c:pt>
                <c:pt idx="27">
                  <c:v>179.79318281863624</c:v>
                </c:pt>
                <c:pt idx="28">
                  <c:v>87.429010715063512</c:v>
                </c:pt>
                <c:pt idx="29">
                  <c:v>99.779664000000011</c:v>
                </c:pt>
                <c:pt idx="30">
                  <c:v>79.770113989110698</c:v>
                </c:pt>
                <c:pt idx="31">
                  <c:v>104.25771236297642</c:v>
                </c:pt>
                <c:pt idx="32">
                  <c:v>83.057081205081687</c:v>
                </c:pt>
                <c:pt idx="33">
                  <c:v>77.362218903811268</c:v>
                </c:pt>
                <c:pt idx="34">
                  <c:v>107.36855089655174</c:v>
                </c:pt>
                <c:pt idx="35">
                  <c:v>73.294186932849371</c:v>
                </c:pt>
                <c:pt idx="36">
                  <c:v>115.32766893647913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09-4FC4-91F0-99C2EE360404}"/>
            </c:ext>
          </c:extLst>
        </c:ser>
        <c:ser>
          <c:idx val="7"/>
          <c:order val="9"/>
          <c:tx>
            <c:strRef>
              <c:f>'SI Table 2'!$A$106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val>
            <c:numRef>
              <c:f>'SI Table 2'!$B$106:$AL$106</c:f>
              <c:numCache>
                <c:formatCode>#,##0.0</c:formatCode>
                <c:ptCount val="37"/>
                <c:pt idx="0">
                  <c:v>8.9370579310344844</c:v>
                </c:pt>
                <c:pt idx="1">
                  <c:v>17.643700834845735</c:v>
                </c:pt>
                <c:pt idx="2">
                  <c:v>26.073495027128008</c:v>
                </c:pt>
                <c:pt idx="3">
                  <c:v>38.809217237072815</c:v>
                </c:pt>
                <c:pt idx="4">
                  <c:v>20.893542911070778</c:v>
                </c:pt>
                <c:pt idx="5">
                  <c:v>21.661906845735025</c:v>
                </c:pt>
                <c:pt idx="6">
                  <c:v>20.470951927404712</c:v>
                </c:pt>
                <c:pt idx="7">
                  <c:v>24.440863404718691</c:v>
                </c:pt>
                <c:pt idx="8">
                  <c:v>20.53355793829401</c:v>
                </c:pt>
                <c:pt idx="9">
                  <c:v>18.659431433756801</c:v>
                </c:pt>
                <c:pt idx="10">
                  <c:v>24.802037996370231</c:v>
                </c:pt>
                <c:pt idx="11">
                  <c:v>18.335270504537203</c:v>
                </c:pt>
                <c:pt idx="12">
                  <c:v>23.55220630127042</c:v>
                </c:pt>
                <c:pt idx="13">
                  <c:v>19.722833350272232</c:v>
                </c:pt>
                <c:pt idx="14">
                  <c:v>34.848578541596538</c:v>
                </c:pt>
                <c:pt idx="15">
                  <c:v>46.733444761673901</c:v>
                </c:pt>
                <c:pt idx="16">
                  <c:v>23.605723513611611</c:v>
                </c:pt>
                <c:pt idx="17">
                  <c:v>25.574164225045369</c:v>
                </c:pt>
                <c:pt idx="18">
                  <c:v>22.31521067150635</c:v>
                </c:pt>
                <c:pt idx="19">
                  <c:v>28.351735811252261</c:v>
                </c:pt>
                <c:pt idx="20">
                  <c:v>22.929744551724138</c:v>
                </c:pt>
                <c:pt idx="21">
                  <c:v>20.84486312885662</c:v>
                </c:pt>
                <c:pt idx="22">
                  <c:v>28.317495375680579</c:v>
                </c:pt>
                <c:pt idx="23">
                  <c:v>20.120353292196004</c:v>
                </c:pt>
                <c:pt idx="24">
                  <c:v>27.793579528130667</c:v>
                </c:pt>
                <c:pt idx="25">
                  <c:v>25.532263956442829</c:v>
                </c:pt>
                <c:pt idx="26">
                  <c:v>56.476006584206011</c:v>
                </c:pt>
                <c:pt idx="27">
                  <c:v>59.931060939545411</c:v>
                </c:pt>
                <c:pt idx="28">
                  <c:v>29.143003571687835</c:v>
                </c:pt>
                <c:pt idx="29">
                  <c:v>33.259888000000004</c:v>
                </c:pt>
                <c:pt idx="30">
                  <c:v>26.590037996370235</c:v>
                </c:pt>
                <c:pt idx="31">
                  <c:v>34.752570787658804</c:v>
                </c:pt>
                <c:pt idx="32">
                  <c:v>27.685693735027222</c:v>
                </c:pt>
                <c:pt idx="33">
                  <c:v>25.787406301270419</c:v>
                </c:pt>
                <c:pt idx="34">
                  <c:v>35.789516965517237</c:v>
                </c:pt>
                <c:pt idx="35">
                  <c:v>24.431395644283118</c:v>
                </c:pt>
                <c:pt idx="36">
                  <c:v>38.442556312159709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09-4FC4-91F0-99C2EE360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5290608"/>
        <c:axId val="1535293968"/>
      </c:areaChart>
      <c:barChart>
        <c:barDir val="col"/>
        <c:grouping val="stacked"/>
        <c:varyColors val="0"/>
        <c:ser>
          <c:idx val="0"/>
          <c:order val="0"/>
          <c:tx>
            <c:strRef>
              <c:f>'SI Table 2'!$A$29</c:f>
              <c:strCache>
                <c:ptCount val="1"/>
                <c:pt idx="0">
                  <c:v>Transmission lines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647915748072076E-3"/>
                  <c:y val="-0.15416366574768528"/>
                </c:manualLayout>
              </c:layout>
              <c:tx>
                <c:rich>
                  <a:bodyPr/>
                  <a:lstStyle/>
                  <a:p>
                    <a:fld id="{2503881C-F59C-45D2-A013-CDBAC41AB1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F48-4F84-B9AC-3532D0BF500F}"/>
                </c:ext>
              </c:extLst>
            </c:dLbl>
            <c:dLbl>
              <c:idx val="1"/>
              <c:layout>
                <c:manualLayout>
                  <c:x val="-1.233813988378887E-3"/>
                  <c:y val="-0.27026504264282269"/>
                </c:manualLayout>
              </c:layout>
              <c:tx>
                <c:rich>
                  <a:bodyPr/>
                  <a:lstStyle/>
                  <a:p>
                    <a:fld id="{BF46DA78-C9BE-49A4-BDF7-4E6ABA0D04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F48-4F84-B9AC-3532D0BF500F}"/>
                </c:ext>
              </c:extLst>
            </c:dLbl>
            <c:dLbl>
              <c:idx val="2"/>
              <c:layout>
                <c:manualLayout>
                  <c:x val="-2.2845907615084392E-3"/>
                  <c:y val="-0.37271771025549227"/>
                </c:manualLayout>
              </c:layout>
              <c:tx>
                <c:rich>
                  <a:bodyPr/>
                  <a:lstStyle/>
                  <a:p>
                    <a:fld id="{8426A854-72CF-412B-8902-1D8EF2569A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F48-4F84-B9AC-3532D0BF500F}"/>
                </c:ext>
              </c:extLst>
            </c:dLbl>
            <c:dLbl>
              <c:idx val="3"/>
              <c:layout>
                <c:manualLayout>
                  <c:x val="-8.9228086048351275E-4"/>
                  <c:y val="-0.54840421744205159"/>
                </c:manualLayout>
              </c:layout>
              <c:tx>
                <c:rich>
                  <a:bodyPr/>
                  <a:lstStyle/>
                  <a:p>
                    <a:fld id="{93DACD96-F82E-47DF-B39A-8B9D0809AA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F48-4F84-B9AC-3532D0BF500F}"/>
                </c:ext>
              </c:extLst>
            </c:dLbl>
            <c:dLbl>
              <c:idx val="4"/>
              <c:layout>
                <c:manualLayout>
                  <c:x val="2.3187440742979733E-2"/>
                  <c:y val="-0.31625049679941669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2.4x - 2.5x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9F48-4F84-B9AC-3532D0BF500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48-4F84-B9AC-3532D0BF500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48-4F84-B9AC-3532D0BF500F}"/>
                </c:ext>
              </c:extLst>
            </c:dLbl>
            <c:dLbl>
              <c:idx val="7"/>
              <c:layout>
                <c:manualLayout>
                  <c:x val="-2.391754449543149E-4"/>
                  <c:y val="-0.3563674962960262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3x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7-9F48-4F84-B9AC-3532D0BF500F}"/>
                </c:ext>
              </c:extLst>
            </c:dLbl>
            <c:dLbl>
              <c:idx val="8"/>
              <c:layout>
                <c:manualLayout>
                  <c:x val="-2.5226413967600572E-4"/>
                  <c:y val="-0.29964575398813198"/>
                </c:manualLayout>
              </c:layout>
              <c:tx>
                <c:rich>
                  <a:bodyPr/>
                  <a:lstStyle/>
                  <a:p>
                    <a:fld id="{33D4A740-67C2-414E-A79B-1583611BD0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F48-4F84-B9AC-3532D0BF500F}"/>
                </c:ext>
              </c:extLst>
            </c:dLbl>
            <c:dLbl>
              <c:idx val="9"/>
              <c:layout>
                <c:manualLayout>
                  <c:x val="-4.7616394010177611E-17"/>
                  <c:y val="-0.2800854704434838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2x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9-9F48-4F84-B9AC-3532D0BF500F}"/>
                </c:ext>
              </c:extLst>
            </c:dLbl>
            <c:dLbl>
              <c:idx val="10"/>
              <c:layout>
                <c:manualLayout>
                  <c:x val="-1.4477323427373354E-3"/>
                  <c:y val="-0.355570399649720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3x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A-9F48-4F84-B9AC-3532D0BF500F}"/>
                </c:ext>
              </c:extLst>
            </c:dLbl>
            <c:dLbl>
              <c:idx val="11"/>
              <c:layout>
                <c:manualLayout>
                  <c:x val="-4.7616394010177611E-17"/>
                  <c:y val="-0.2755473171106712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2x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B-9F48-4F84-B9AC-3532D0BF500F}"/>
                </c:ext>
              </c:extLst>
            </c:dLbl>
            <c:dLbl>
              <c:idx val="12"/>
              <c:layout>
                <c:manualLayout>
                  <c:x val="0"/>
                  <c:y val="-0.34118939632310535"/>
                </c:manualLayout>
              </c:layout>
              <c:tx>
                <c:rich>
                  <a:bodyPr/>
                  <a:lstStyle/>
                  <a:p>
                    <a:fld id="{E9E15E3D-FB6A-4DB9-BB74-837D501496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F48-4F84-B9AC-3532D0BF500F}"/>
                </c:ext>
              </c:extLst>
            </c:dLbl>
            <c:dLbl>
              <c:idx val="13"/>
              <c:layout>
                <c:manualLayout>
                  <c:x val="-1.886612637626056E-4"/>
                  <c:y val="-0.289810295926134"/>
                </c:manualLayout>
              </c:layout>
              <c:tx>
                <c:rich>
                  <a:bodyPr/>
                  <a:lstStyle/>
                  <a:p>
                    <a:fld id="{AABAD463-C697-4E63-8764-8D7D935303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F48-4F84-B9AC-3532D0BF500F}"/>
                </c:ext>
              </c:extLst>
            </c:dLbl>
            <c:dLbl>
              <c:idx val="14"/>
              <c:layout>
                <c:manualLayout>
                  <c:x val="-3.5360949388471641E-3"/>
                  <c:y val="-0.48938728030870676"/>
                </c:manualLayout>
              </c:layout>
              <c:tx>
                <c:rich>
                  <a:bodyPr/>
                  <a:lstStyle/>
                  <a:p>
                    <a:fld id="{413B42B3-F912-4435-8527-102326F859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F48-4F84-B9AC-3532D0BF500F}"/>
                </c:ext>
              </c:extLst>
            </c:dLbl>
            <c:dLbl>
              <c:idx val="15"/>
              <c:layout>
                <c:manualLayout>
                  <c:x val="-1.298643929422486E-3"/>
                  <c:y val="-0.64365418670393515"/>
                </c:manualLayout>
              </c:layout>
              <c:tx>
                <c:rich>
                  <a:bodyPr/>
                  <a:lstStyle/>
                  <a:p>
                    <a:fld id="{0ED63823-DD4F-42CC-91CC-BAFA191D2A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F48-4F84-B9AC-3532D0BF500F}"/>
                </c:ext>
              </c:extLst>
            </c:dLbl>
            <c:dLbl>
              <c:idx val="16"/>
              <c:layout>
                <c:manualLayout>
                  <c:x val="0"/>
                  <c:y val="-0.35136784002085514"/>
                </c:manualLayout>
              </c:layout>
              <c:tx>
                <c:rich>
                  <a:bodyPr/>
                  <a:lstStyle/>
                  <a:p>
                    <a:fld id="{5198A395-87BF-4AAE-832F-695E51000E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F48-4F84-B9AC-3532D0BF500F}"/>
                </c:ext>
              </c:extLst>
            </c:dLbl>
            <c:dLbl>
              <c:idx val="17"/>
              <c:layout>
                <c:manualLayout>
                  <c:x val="-1.3318769433643999E-3"/>
                  <c:y val="-0.3728253860621184"/>
                </c:manualLayout>
              </c:layout>
              <c:tx>
                <c:rich>
                  <a:bodyPr/>
                  <a:lstStyle/>
                  <a:p>
                    <a:fld id="{559ADFEF-876D-47DC-8E82-1C9069BDB8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F48-4F84-B9AC-3532D0BF500F}"/>
                </c:ext>
              </c:extLst>
            </c:dLbl>
            <c:dLbl>
              <c:idx val="18"/>
              <c:layout>
                <c:manualLayout>
                  <c:x val="9.6120101861814344E-6"/>
                  <c:y val="-0.32800145078981557"/>
                </c:manualLayout>
              </c:layout>
              <c:tx>
                <c:rich>
                  <a:bodyPr/>
                  <a:lstStyle/>
                  <a:p>
                    <a:fld id="{828E16DE-44D0-4D80-9FB9-859D43A338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F48-4F84-B9AC-3532D0BF500F}"/>
                </c:ext>
              </c:extLst>
            </c:dLbl>
            <c:dLbl>
              <c:idx val="19"/>
              <c:layout>
                <c:manualLayout>
                  <c:x val="-1.0225542751358156E-6"/>
                  <c:y val="-0.41759264985724953"/>
                </c:manualLayout>
              </c:layout>
              <c:tx>
                <c:rich>
                  <a:bodyPr/>
                  <a:lstStyle/>
                  <a:p>
                    <a:fld id="{B8B86D4B-E827-4678-8283-2CFBCFA35F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9F48-4F84-B9AC-3532D0BF500F}"/>
                </c:ext>
              </c:extLst>
            </c:dLbl>
            <c:dLbl>
              <c:idx val="20"/>
              <c:layout>
                <c:manualLayout>
                  <c:x val="-1.131967582575348E-4"/>
                  <c:y val="-0.33565875294660885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2.7x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4-9F48-4F84-B9AC-3532D0BF500F}"/>
                </c:ext>
              </c:extLst>
            </c:dLbl>
            <c:dLbl>
              <c:idx val="21"/>
              <c:layout>
                <c:manualLayout>
                  <c:x val="-1.298643929422486E-3"/>
                  <c:y val="-0.30809448564351322"/>
                </c:manualLayout>
              </c:layout>
              <c:tx>
                <c:rich>
                  <a:bodyPr/>
                  <a:lstStyle/>
                  <a:p>
                    <a:fld id="{9E2824A5-1958-47ED-BD2A-140C2C55B3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9F48-4F84-B9AC-3532D0BF500F}"/>
                </c:ext>
              </c:extLst>
            </c:dLbl>
            <c:dLbl>
              <c:idx val="22"/>
              <c:layout>
                <c:manualLayout>
                  <c:x val="-6.7437454445207039E-4"/>
                  <c:y val="-0.40365072727985046"/>
                </c:manualLayout>
              </c:layout>
              <c:tx>
                <c:rich>
                  <a:bodyPr/>
                  <a:lstStyle/>
                  <a:p>
                    <a:fld id="{112B5C0E-D36B-47A7-BEBA-729B00A05B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9F48-4F84-B9AC-3532D0BF500F}"/>
                </c:ext>
              </c:extLst>
            </c:dLbl>
            <c:dLbl>
              <c:idx val="23"/>
              <c:layout>
                <c:manualLayout>
                  <c:x val="0"/>
                  <c:y val="-0.30053377139563864"/>
                </c:manualLayout>
              </c:layout>
              <c:tx>
                <c:rich>
                  <a:bodyPr/>
                  <a:lstStyle/>
                  <a:p>
                    <a:fld id="{AB30442A-3473-4425-AE90-34D443B601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9F48-4F84-B9AC-3532D0BF500F}"/>
                </c:ext>
              </c:extLst>
            </c:dLbl>
            <c:dLbl>
              <c:idx val="24"/>
              <c:layout>
                <c:manualLayout>
                  <c:x val="-1.6641048273560264E-3"/>
                  <c:y val="-0.40134419815896555"/>
                </c:manualLayout>
              </c:layout>
              <c:tx>
                <c:rich>
                  <a:bodyPr/>
                  <a:lstStyle/>
                  <a:p>
                    <a:fld id="{F59C1CAB-A43F-4E12-B3BF-4072D78107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9F48-4F84-B9AC-3532D0BF500F}"/>
                </c:ext>
              </c:extLst>
            </c:dLbl>
            <c:dLbl>
              <c:idx val="25"/>
              <c:layout>
                <c:manualLayout>
                  <c:x val="-9.5232788020355222E-17"/>
                  <c:y val="-0.36326761823826126"/>
                </c:manualLayout>
              </c:layout>
              <c:tx>
                <c:rich>
                  <a:bodyPr/>
                  <a:lstStyle/>
                  <a:p>
                    <a:fld id="{751CE389-DB89-4F19-9D57-00874B0D3D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9F48-4F84-B9AC-3532D0BF500F}"/>
                </c:ext>
              </c:extLst>
            </c:dLbl>
            <c:dLbl>
              <c:idx val="26"/>
              <c:layout>
                <c:manualLayout>
                  <c:x val="-1.2338139883789703E-3"/>
                  <c:y val="-0.79146941501976475"/>
                </c:manualLayout>
              </c:layout>
              <c:tx>
                <c:rich>
                  <a:bodyPr/>
                  <a:lstStyle/>
                  <a:p>
                    <a:fld id="{32CB24D9-C59B-4277-AFE2-E37B3B9DDF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9F48-4F84-B9AC-3532D0BF500F}"/>
                </c:ext>
              </c:extLst>
            </c:dLbl>
            <c:dLbl>
              <c:idx val="27"/>
              <c:layout>
                <c:manualLayout>
                  <c:x val="2.4739064600070842E-2"/>
                  <c:y val="-0.79017829093115921"/>
                </c:manualLayout>
              </c:layout>
              <c:tx>
                <c:rich>
                  <a:bodyPr/>
                  <a:lstStyle/>
                  <a:p>
                    <a:fld id="{A9425BA3-FA4F-426F-9055-D8915C875D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9F48-4F84-B9AC-3532D0BF500F}"/>
                </c:ext>
              </c:extLst>
            </c:dLbl>
            <c:dLbl>
              <c:idx val="28"/>
              <c:layout>
                <c:manualLayout>
                  <c:x val="-2.5324579178014565E-3"/>
                  <c:y val="-0.422855705302405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3x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C-9F48-4F84-B9AC-3532D0BF500F}"/>
                </c:ext>
              </c:extLst>
            </c:dLbl>
            <c:dLbl>
              <c:idx val="29"/>
              <c:layout>
                <c:manualLayout>
                  <c:x val="-9.4775442990972596E-4"/>
                  <c:y val="-0.47337241365546057"/>
                </c:manualLayout>
              </c:layout>
              <c:tx>
                <c:rich>
                  <a:bodyPr rot="0" spcFirstLastPara="1" vertOverflow="overflow" horzOverflow="overflow" vert="horz" wrap="square" lIns="72000" tIns="36000" bIns="3600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E8E4AA8-87D4-437B-BA5B-FB204F120F2D}" type="CELLRANGE">
                      <a:rPr lang="en-US"/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2.6153563928866214E-2"/>
                      <c:h val="6.733433880032396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9F48-4F84-B9AC-3532D0BF500F}"/>
                </c:ext>
              </c:extLst>
            </c:dLbl>
            <c:dLbl>
              <c:idx val="30"/>
              <c:layout>
                <c:manualLayout>
                  <c:x val="-1.1281841317574406E-3"/>
                  <c:y val="-0.38546608224411166"/>
                </c:manualLayout>
              </c:layout>
              <c:tx>
                <c:rich>
                  <a:bodyPr/>
                  <a:lstStyle/>
                  <a:p>
                    <a:fld id="{5A65683A-9834-47BE-9034-2193E21878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9F48-4F84-B9AC-3532D0BF500F}"/>
                </c:ext>
              </c:extLst>
            </c:dLbl>
            <c:dLbl>
              <c:idx val="31"/>
              <c:layout>
                <c:manualLayout>
                  <c:x val="-4.3179399376161044E-3"/>
                  <c:y val="-0.50466714254280975"/>
                </c:manualLayout>
              </c:layout>
              <c:tx>
                <c:rich>
                  <a:bodyPr/>
                  <a:lstStyle/>
                  <a:p>
                    <a:fld id="{C9F96652-FB8B-4DF9-8257-0A13A7BD24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9F48-4F84-B9AC-3532D0BF500F}"/>
                </c:ext>
              </c:extLst>
            </c:dLbl>
            <c:dLbl>
              <c:idx val="32"/>
              <c:layout>
                <c:manualLayout>
                  <c:x val="-2.5884938920788039E-3"/>
                  <c:y val="-0.39391456750176601"/>
                </c:manualLayout>
              </c:layout>
              <c:tx>
                <c:rich>
                  <a:bodyPr/>
                  <a:lstStyle/>
                  <a:p>
                    <a:fld id="{09A1BCCD-9BEC-4E5B-B32F-C2D21434A5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9F48-4F84-B9AC-3532D0BF500F}"/>
                </c:ext>
              </c:extLst>
            </c:dLbl>
            <c:dLbl>
              <c:idx val="33"/>
              <c:layout>
                <c:manualLayout>
                  <c:x val="0"/>
                  <c:y val="-0.38410399561017816"/>
                </c:manualLayout>
              </c:layout>
              <c:tx>
                <c:rich>
                  <a:bodyPr/>
                  <a:lstStyle/>
                  <a:p>
                    <a:fld id="{D5139E79-D9CB-4A26-9E50-113EB20F91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9F48-4F84-B9AC-3532D0BF500F}"/>
                </c:ext>
              </c:extLst>
            </c:dLbl>
            <c:dLbl>
              <c:idx val="34"/>
              <c:layout>
                <c:manualLayout>
                  <c:x val="-3.6159564277352713E-3"/>
                  <c:y val="-0.5196917367319136"/>
                </c:manualLayout>
              </c:layout>
              <c:tx>
                <c:rich>
                  <a:bodyPr/>
                  <a:lstStyle/>
                  <a:p>
                    <a:fld id="{CAC7D080-ADD6-4C62-92AF-B6995C6EC4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9F48-4F84-B9AC-3532D0BF500F}"/>
                </c:ext>
              </c:extLst>
            </c:dLbl>
            <c:dLbl>
              <c:idx val="35"/>
              <c:layout>
                <c:manualLayout>
                  <c:x val="-1.4216572087213245E-3"/>
                  <c:y val="-0.35656584646612688"/>
                </c:manualLayout>
              </c:layout>
              <c:tx>
                <c:rich>
                  <a:bodyPr/>
                  <a:lstStyle/>
                  <a:p>
                    <a:fld id="{67AA0EB9-5AB3-4825-8659-1FE98BCDDF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9F48-4F84-B9AC-3532D0BF500F}"/>
                </c:ext>
              </c:extLst>
            </c:dLbl>
            <c:dLbl>
              <c:idx val="36"/>
              <c:layout>
                <c:manualLayout>
                  <c:x val="-5.9931906065710159E-4"/>
                  <c:y val="-0.54804201278360687"/>
                </c:manualLayout>
              </c:layout>
              <c:tx>
                <c:rich>
                  <a:bodyPr/>
                  <a:lstStyle/>
                  <a:p>
                    <a:fld id="{585551A2-CF2D-4425-B3D4-8CFA4BA6897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9F48-4F84-B9AC-3532D0BF5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72000" tIns="36000" bIns="3600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multiLvlStrRef>
              <c:f>'SI Table 2'!$B$27:$AL$28</c:f>
              <c:multiLvlStrCache>
                <c:ptCount val="37"/>
                <c:lvl>
                  <c:pt idx="0">
                    <c:v>2020</c:v>
                  </c:pt>
                  <c:pt idx="1">
                    <c:v>NREL1</c:v>
                  </c:pt>
                  <c:pt idx="2">
                    <c:v>NREL2</c:v>
                  </c:pt>
                  <c:pt idx="3">
                    <c:v>NREL3</c:v>
                  </c:pt>
                  <c:pt idx="4">
                    <c:v>EIA1</c:v>
                  </c:pt>
                  <c:pt idx="5">
                    <c:v>EIA2</c:v>
                  </c:pt>
                  <c:pt idx="6">
                    <c:v>EIA3</c:v>
                  </c:pt>
                  <c:pt idx="7">
                    <c:v>EIA4</c:v>
                  </c:pt>
                  <c:pt idx="8">
                    <c:v>EIA5</c:v>
                  </c:pt>
                  <c:pt idx="9">
                    <c:v>EIA6</c:v>
                  </c:pt>
                  <c:pt idx="10">
                    <c:v>EIA7</c:v>
                  </c:pt>
                  <c:pt idx="11">
                    <c:v>EIA8</c:v>
                  </c:pt>
                  <c:pt idx="12">
                    <c:v>EIA9</c:v>
                  </c:pt>
                  <c:pt idx="13">
                    <c:v>NREL1</c:v>
                  </c:pt>
                  <c:pt idx="14">
                    <c:v>NREL2</c:v>
                  </c:pt>
                  <c:pt idx="15">
                    <c:v>NREL3</c:v>
                  </c:pt>
                  <c:pt idx="16">
                    <c:v>EIA1</c:v>
                  </c:pt>
                  <c:pt idx="17">
                    <c:v>EIA2</c:v>
                  </c:pt>
                  <c:pt idx="18">
                    <c:v>EIA3</c:v>
                  </c:pt>
                  <c:pt idx="19">
                    <c:v>EIA4</c:v>
                  </c:pt>
                  <c:pt idx="20">
                    <c:v>EIA5</c:v>
                  </c:pt>
                  <c:pt idx="21">
                    <c:v>EIA6</c:v>
                  </c:pt>
                  <c:pt idx="22">
                    <c:v>EIA7</c:v>
                  </c:pt>
                  <c:pt idx="23">
                    <c:v>EIA8</c:v>
                  </c:pt>
                  <c:pt idx="24">
                    <c:v>EIA9</c:v>
                  </c:pt>
                  <c:pt idx="25">
                    <c:v>NREL1</c:v>
                  </c:pt>
                  <c:pt idx="26">
                    <c:v>NREL2</c:v>
                  </c:pt>
                  <c:pt idx="27">
                    <c:v>NREL3</c:v>
                  </c:pt>
                  <c:pt idx="28">
                    <c:v>EIA1</c:v>
                  </c:pt>
                  <c:pt idx="29">
                    <c:v>EIA2</c:v>
                  </c:pt>
                  <c:pt idx="30">
                    <c:v>EIA3</c:v>
                  </c:pt>
                  <c:pt idx="31">
                    <c:v>EIA4</c:v>
                  </c:pt>
                  <c:pt idx="32">
                    <c:v>EIA5</c:v>
                  </c:pt>
                  <c:pt idx="33">
                    <c:v>EIA6</c:v>
                  </c:pt>
                  <c:pt idx="34">
                    <c:v>EIA7</c:v>
                  </c:pt>
                  <c:pt idx="35">
                    <c:v>EIA8</c:v>
                  </c:pt>
                  <c:pt idx="36">
                    <c:v>EIA9</c:v>
                  </c:pt>
                </c:lvl>
                <c:lvl>
                  <c:pt idx="1">
                    <c:v>2035</c:v>
                  </c:pt>
                  <c:pt idx="13">
                    <c:v>2040</c:v>
                  </c:pt>
                  <c:pt idx="25">
                    <c:v>2050</c:v>
                  </c:pt>
                </c:lvl>
              </c:multiLvlStrCache>
            </c:multiLvlStrRef>
          </c:cat>
          <c:val>
            <c:numRef>
              <c:f>'SI Table 2'!$B$29:$AL$29</c:f>
              <c:numCache>
                <c:formatCode>#,##0.0</c:formatCode>
                <c:ptCount val="37"/>
                <c:pt idx="0">
                  <c:v>0.30774289655172415</c:v>
                </c:pt>
                <c:pt idx="1">
                  <c:v>0.6195350417422868</c:v>
                </c:pt>
                <c:pt idx="2">
                  <c:v>0.91168158417640066</c:v>
                </c:pt>
                <c:pt idx="3">
                  <c:v>1.3499655237536408</c:v>
                </c:pt>
                <c:pt idx="4">
                  <c:v>0.60819714555353899</c:v>
                </c:pt>
                <c:pt idx="5">
                  <c:v>0.61791534228675138</c:v>
                </c:pt>
                <c:pt idx="6">
                  <c:v>0.60576759637023592</c:v>
                </c:pt>
                <c:pt idx="7">
                  <c:v>0.68351317023593472</c:v>
                </c:pt>
                <c:pt idx="8">
                  <c:v>0.6041478969147005</c:v>
                </c:pt>
                <c:pt idx="9">
                  <c:v>0.5304515716878403</c:v>
                </c:pt>
                <c:pt idx="10">
                  <c:v>0.74425189981851181</c:v>
                </c:pt>
                <c:pt idx="11">
                  <c:v>0.51992352522686025</c:v>
                </c:pt>
                <c:pt idx="12">
                  <c:v>0.6989003150635209</c:v>
                </c:pt>
                <c:pt idx="13">
                  <c:v>0.69161166751361169</c:v>
                </c:pt>
                <c:pt idx="14">
                  <c:v>1.2218632540998271</c:v>
                </c:pt>
                <c:pt idx="15">
                  <c:v>1.6376703489836952</c:v>
                </c:pt>
                <c:pt idx="16">
                  <c:v>0.66731617568058077</c:v>
                </c:pt>
                <c:pt idx="17">
                  <c:v>0.7102382112522686</c:v>
                </c:pt>
                <c:pt idx="18">
                  <c:v>0.64383053357531772</c:v>
                </c:pt>
                <c:pt idx="19">
                  <c:v>0.77178679056261346</c:v>
                </c:pt>
                <c:pt idx="20">
                  <c:v>0.66164722758620698</c:v>
                </c:pt>
                <c:pt idx="21">
                  <c:v>0.5758031564428312</c:v>
                </c:pt>
                <c:pt idx="22">
                  <c:v>0.83657476878402903</c:v>
                </c:pt>
                <c:pt idx="23">
                  <c:v>0.5515076646098005</c:v>
                </c:pt>
                <c:pt idx="24">
                  <c:v>0.81389897640653364</c:v>
                </c:pt>
                <c:pt idx="25">
                  <c:v>0.89893319782214165</c:v>
                </c:pt>
                <c:pt idx="26">
                  <c:v>1.9859235891103011</c:v>
                </c:pt>
                <c:pt idx="27">
                  <c:v>2.1035283468772707</c:v>
                </c:pt>
                <c:pt idx="28">
                  <c:v>0.80742017858439208</c:v>
                </c:pt>
                <c:pt idx="29">
                  <c:v>0.89245439999999998</c:v>
                </c:pt>
                <c:pt idx="30">
                  <c:v>0.74425189981851181</c:v>
                </c:pt>
                <c:pt idx="31">
                  <c:v>0.92403853938294012</c:v>
                </c:pt>
                <c:pt idx="32">
                  <c:v>0.78312468675136127</c:v>
                </c:pt>
                <c:pt idx="33">
                  <c:v>0.6989003150635209</c:v>
                </c:pt>
                <c:pt idx="34">
                  <c:v>1.0463258482758622</c:v>
                </c:pt>
                <c:pt idx="35">
                  <c:v>0.6478797822141561</c:v>
                </c:pt>
                <c:pt idx="36">
                  <c:v>1.1435078156079854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'SI Table 2'!$B$39:$AL$39</c15:f>
                <c15:dlblRangeCache>
                  <c:ptCount val="37"/>
                  <c:pt idx="0">
                    <c:v>x</c:v>
                  </c:pt>
                  <c:pt idx="1">
                    <c:v>2x</c:v>
                  </c:pt>
                  <c:pt idx="2">
                    <c:v>3x</c:v>
                  </c:pt>
                  <c:pt idx="3">
                    <c:v>4.6x</c:v>
                  </c:pt>
                  <c:pt idx="4">
                    <c:v>2.4x</c:v>
                  </c:pt>
                  <c:pt idx="5">
                    <c:v>2.5x</c:v>
                  </c:pt>
                  <c:pt idx="6">
                    <c:v>2.4x</c:v>
                  </c:pt>
                  <c:pt idx="7">
                    <c:v>2.9x</c:v>
                  </c:pt>
                  <c:pt idx="8">
                    <c:v>2.4x</c:v>
                  </c:pt>
                  <c:pt idx="9">
                    <c:v>2.2x</c:v>
                  </c:pt>
                  <c:pt idx="10">
                    <c:v>2.9x</c:v>
                  </c:pt>
                  <c:pt idx="11">
                    <c:v>2.1x</c:v>
                  </c:pt>
                  <c:pt idx="12">
                    <c:v>2.7x</c:v>
                  </c:pt>
                  <c:pt idx="13">
                    <c:v>2.3x</c:v>
                  </c:pt>
                  <c:pt idx="14">
                    <c:v>4.1x</c:v>
                  </c:pt>
                  <c:pt idx="15">
                    <c:v>5.5x</c:v>
                  </c:pt>
                  <c:pt idx="16">
                    <c:v>2.8x</c:v>
                  </c:pt>
                  <c:pt idx="17">
                    <c:v>3x</c:v>
                  </c:pt>
                  <c:pt idx="18">
                    <c:v>2.6x</c:v>
                  </c:pt>
                  <c:pt idx="19">
                    <c:v>3.3x</c:v>
                  </c:pt>
                  <c:pt idx="20">
                    <c:v>2.7x</c:v>
                  </c:pt>
                  <c:pt idx="21">
                    <c:v>2.5x</c:v>
                  </c:pt>
                  <c:pt idx="22">
                    <c:v>3.3x</c:v>
                  </c:pt>
                  <c:pt idx="23">
                    <c:v>2.4x</c:v>
                  </c:pt>
                  <c:pt idx="24">
                    <c:v>3.4x</c:v>
                  </c:pt>
                  <c:pt idx="25">
                    <c:v>3x</c:v>
                  </c:pt>
                  <c:pt idx="26">
                    <c:v>7x</c:v>
                  </c:pt>
                  <c:pt idx="27">
                    <c:v>7x</c:v>
                  </c:pt>
                  <c:pt idx="28">
                    <c:v>3.4x</c:v>
                  </c:pt>
                  <c:pt idx="29">
                    <c:v>4x</c:v>
                  </c:pt>
                  <c:pt idx="30">
                    <c:v>3x</c:v>
                  </c:pt>
                  <c:pt idx="31">
                    <c:v>4x</c:v>
                  </c:pt>
                  <c:pt idx="32">
                    <c:v>3x</c:v>
                  </c:pt>
                  <c:pt idx="33">
                    <c:v>3x</c:v>
                  </c:pt>
                  <c:pt idx="34">
                    <c:v>4x</c:v>
                  </c:pt>
                  <c:pt idx="35">
                    <c:v>2.8x</c:v>
                  </c:pt>
                  <c:pt idx="36">
                    <c:v>4.5x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5-9F48-4F84-B9AC-3532D0BF500F}"/>
            </c:ext>
          </c:extLst>
        </c:ser>
        <c:ser>
          <c:idx val="1"/>
          <c:order val="1"/>
          <c:tx>
            <c:strRef>
              <c:f>'SI Table 2'!$A$30</c:f>
              <c:strCache>
                <c:ptCount val="1"/>
                <c:pt idx="0">
                  <c:v>Distribution lines</c:v>
                </c:pt>
              </c:strCache>
            </c:strRef>
          </c:tx>
          <c:spPr>
            <a:solidFill>
              <a:srgbClr val="7DDDFF"/>
            </a:solidFill>
            <a:ln>
              <a:noFill/>
            </a:ln>
            <a:effectLst/>
          </c:spPr>
          <c:invertIfNegative val="0"/>
          <c:cat>
            <c:multiLvlStrRef>
              <c:f>'SI Table 2'!$B$27:$AL$28</c:f>
              <c:multiLvlStrCache>
                <c:ptCount val="37"/>
                <c:lvl>
                  <c:pt idx="0">
                    <c:v>2020</c:v>
                  </c:pt>
                  <c:pt idx="1">
                    <c:v>NREL1</c:v>
                  </c:pt>
                  <c:pt idx="2">
                    <c:v>NREL2</c:v>
                  </c:pt>
                  <c:pt idx="3">
                    <c:v>NREL3</c:v>
                  </c:pt>
                  <c:pt idx="4">
                    <c:v>EIA1</c:v>
                  </c:pt>
                  <c:pt idx="5">
                    <c:v>EIA2</c:v>
                  </c:pt>
                  <c:pt idx="6">
                    <c:v>EIA3</c:v>
                  </c:pt>
                  <c:pt idx="7">
                    <c:v>EIA4</c:v>
                  </c:pt>
                  <c:pt idx="8">
                    <c:v>EIA5</c:v>
                  </c:pt>
                  <c:pt idx="9">
                    <c:v>EIA6</c:v>
                  </c:pt>
                  <c:pt idx="10">
                    <c:v>EIA7</c:v>
                  </c:pt>
                  <c:pt idx="11">
                    <c:v>EIA8</c:v>
                  </c:pt>
                  <c:pt idx="12">
                    <c:v>EIA9</c:v>
                  </c:pt>
                  <c:pt idx="13">
                    <c:v>NREL1</c:v>
                  </c:pt>
                  <c:pt idx="14">
                    <c:v>NREL2</c:v>
                  </c:pt>
                  <c:pt idx="15">
                    <c:v>NREL3</c:v>
                  </c:pt>
                  <c:pt idx="16">
                    <c:v>EIA1</c:v>
                  </c:pt>
                  <c:pt idx="17">
                    <c:v>EIA2</c:v>
                  </c:pt>
                  <c:pt idx="18">
                    <c:v>EIA3</c:v>
                  </c:pt>
                  <c:pt idx="19">
                    <c:v>EIA4</c:v>
                  </c:pt>
                  <c:pt idx="20">
                    <c:v>EIA5</c:v>
                  </c:pt>
                  <c:pt idx="21">
                    <c:v>EIA6</c:v>
                  </c:pt>
                  <c:pt idx="22">
                    <c:v>EIA7</c:v>
                  </c:pt>
                  <c:pt idx="23">
                    <c:v>EIA8</c:v>
                  </c:pt>
                  <c:pt idx="24">
                    <c:v>EIA9</c:v>
                  </c:pt>
                  <c:pt idx="25">
                    <c:v>NREL1</c:v>
                  </c:pt>
                  <c:pt idx="26">
                    <c:v>NREL2</c:v>
                  </c:pt>
                  <c:pt idx="27">
                    <c:v>NREL3</c:v>
                  </c:pt>
                  <c:pt idx="28">
                    <c:v>EIA1</c:v>
                  </c:pt>
                  <c:pt idx="29">
                    <c:v>EIA2</c:v>
                  </c:pt>
                  <c:pt idx="30">
                    <c:v>EIA3</c:v>
                  </c:pt>
                  <c:pt idx="31">
                    <c:v>EIA4</c:v>
                  </c:pt>
                  <c:pt idx="32">
                    <c:v>EIA5</c:v>
                  </c:pt>
                  <c:pt idx="33">
                    <c:v>EIA6</c:v>
                  </c:pt>
                  <c:pt idx="34">
                    <c:v>EIA7</c:v>
                  </c:pt>
                  <c:pt idx="35">
                    <c:v>EIA8</c:v>
                  </c:pt>
                  <c:pt idx="36">
                    <c:v>EIA9</c:v>
                  </c:pt>
                </c:lvl>
                <c:lvl>
                  <c:pt idx="1">
                    <c:v>2035</c:v>
                  </c:pt>
                  <c:pt idx="13">
                    <c:v>2040</c:v>
                  </c:pt>
                  <c:pt idx="25">
                    <c:v>2050</c:v>
                  </c:pt>
                </c:lvl>
              </c:multiLvlStrCache>
            </c:multiLvlStrRef>
          </c:cat>
          <c:val>
            <c:numRef>
              <c:f>'SI Table 2'!$B$30:$AL$30</c:f>
              <c:numCache>
                <c:formatCode>#,##0.0</c:formatCode>
                <c:ptCount val="37"/>
                <c:pt idx="0">
                  <c:v>2.7696860689655174</c:v>
                </c:pt>
                <c:pt idx="1">
                  <c:v>5.5758153756805804</c:v>
                </c:pt>
                <c:pt idx="2">
                  <c:v>8.2051342575876056</c:v>
                </c:pt>
                <c:pt idx="3">
                  <c:v>12.149689713782765</c:v>
                </c:pt>
                <c:pt idx="4">
                  <c:v>5.4737743099818514</c:v>
                </c:pt>
                <c:pt idx="5">
                  <c:v>5.561238080580762</c:v>
                </c:pt>
                <c:pt idx="6">
                  <c:v>5.4519083673321234</c:v>
                </c:pt>
                <c:pt idx="7">
                  <c:v>6.151618532123412</c:v>
                </c:pt>
                <c:pt idx="8">
                  <c:v>5.4373310722323049</c:v>
                </c:pt>
                <c:pt idx="9">
                  <c:v>4.7740641451905628</c:v>
                </c:pt>
                <c:pt idx="10">
                  <c:v>6.6982670983666059</c:v>
                </c:pt>
                <c:pt idx="11">
                  <c:v>4.6793117270417417</c:v>
                </c:pt>
                <c:pt idx="12">
                  <c:v>6.2901028355716884</c:v>
                </c:pt>
                <c:pt idx="13">
                  <c:v>6.224505007622505</c:v>
                </c:pt>
                <c:pt idx="14">
                  <c:v>10.996769286898443</c:v>
                </c:pt>
                <c:pt idx="15">
                  <c:v>14.739033140853255</c:v>
                </c:pt>
                <c:pt idx="16">
                  <c:v>6.0058455811252269</c:v>
                </c:pt>
                <c:pt idx="17">
                  <c:v>6.3921439012704173</c:v>
                </c:pt>
                <c:pt idx="18">
                  <c:v>5.7944748021778585</c:v>
                </c:pt>
                <c:pt idx="19">
                  <c:v>6.9460811150635209</c:v>
                </c:pt>
                <c:pt idx="20">
                  <c:v>5.954825048275862</c:v>
                </c:pt>
                <c:pt idx="21">
                  <c:v>5.1822284079854803</c:v>
                </c:pt>
                <c:pt idx="22">
                  <c:v>7.5291729190562622</c:v>
                </c:pt>
                <c:pt idx="23">
                  <c:v>4.963568981488204</c:v>
                </c:pt>
                <c:pt idx="24">
                  <c:v>7.3250907876588025</c:v>
                </c:pt>
                <c:pt idx="25">
                  <c:v>8.0903987803992745</c:v>
                </c:pt>
                <c:pt idx="26">
                  <c:v>17.873312301992712</c:v>
                </c:pt>
                <c:pt idx="27">
                  <c:v>18.931755121895435</c:v>
                </c:pt>
                <c:pt idx="28">
                  <c:v>7.2667816072595279</c:v>
                </c:pt>
                <c:pt idx="29">
                  <c:v>8.0320896000000008</c:v>
                </c:pt>
                <c:pt idx="30">
                  <c:v>6.6982670983666059</c:v>
                </c:pt>
                <c:pt idx="31">
                  <c:v>8.3163468544464614</c:v>
                </c:pt>
                <c:pt idx="32">
                  <c:v>7.0481221807622507</c:v>
                </c:pt>
                <c:pt idx="33">
                  <c:v>6.2901028355716884</c:v>
                </c:pt>
                <c:pt idx="34">
                  <c:v>9.4169326344827589</c:v>
                </c:pt>
                <c:pt idx="35">
                  <c:v>5.8309180399274041</c:v>
                </c:pt>
                <c:pt idx="36">
                  <c:v>10.291570340471869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F48-4F84-B9AC-3532D0BF500F}"/>
            </c:ext>
          </c:extLst>
        </c:ser>
        <c:ser>
          <c:idx val="2"/>
          <c:order val="2"/>
          <c:tx>
            <c:strRef>
              <c:f>'SI Table 2'!$A$31</c:f>
              <c:strCache>
                <c:ptCount val="1"/>
                <c:pt idx="0">
                  <c:v>EVs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'SI Table 2'!$B$27:$AL$28</c:f>
              <c:multiLvlStrCache>
                <c:ptCount val="37"/>
                <c:lvl>
                  <c:pt idx="0">
                    <c:v>2020</c:v>
                  </c:pt>
                  <c:pt idx="1">
                    <c:v>NREL1</c:v>
                  </c:pt>
                  <c:pt idx="2">
                    <c:v>NREL2</c:v>
                  </c:pt>
                  <c:pt idx="3">
                    <c:v>NREL3</c:v>
                  </c:pt>
                  <c:pt idx="4">
                    <c:v>EIA1</c:v>
                  </c:pt>
                  <c:pt idx="5">
                    <c:v>EIA2</c:v>
                  </c:pt>
                  <c:pt idx="6">
                    <c:v>EIA3</c:v>
                  </c:pt>
                  <c:pt idx="7">
                    <c:v>EIA4</c:v>
                  </c:pt>
                  <c:pt idx="8">
                    <c:v>EIA5</c:v>
                  </c:pt>
                  <c:pt idx="9">
                    <c:v>EIA6</c:v>
                  </c:pt>
                  <c:pt idx="10">
                    <c:v>EIA7</c:v>
                  </c:pt>
                  <c:pt idx="11">
                    <c:v>EIA8</c:v>
                  </c:pt>
                  <c:pt idx="12">
                    <c:v>EIA9</c:v>
                  </c:pt>
                  <c:pt idx="13">
                    <c:v>NREL1</c:v>
                  </c:pt>
                  <c:pt idx="14">
                    <c:v>NREL2</c:v>
                  </c:pt>
                  <c:pt idx="15">
                    <c:v>NREL3</c:v>
                  </c:pt>
                  <c:pt idx="16">
                    <c:v>EIA1</c:v>
                  </c:pt>
                  <c:pt idx="17">
                    <c:v>EIA2</c:v>
                  </c:pt>
                  <c:pt idx="18">
                    <c:v>EIA3</c:v>
                  </c:pt>
                  <c:pt idx="19">
                    <c:v>EIA4</c:v>
                  </c:pt>
                  <c:pt idx="20">
                    <c:v>EIA5</c:v>
                  </c:pt>
                  <c:pt idx="21">
                    <c:v>EIA6</c:v>
                  </c:pt>
                  <c:pt idx="22">
                    <c:v>EIA7</c:v>
                  </c:pt>
                  <c:pt idx="23">
                    <c:v>EIA8</c:v>
                  </c:pt>
                  <c:pt idx="24">
                    <c:v>EIA9</c:v>
                  </c:pt>
                  <c:pt idx="25">
                    <c:v>NREL1</c:v>
                  </c:pt>
                  <c:pt idx="26">
                    <c:v>NREL2</c:v>
                  </c:pt>
                  <c:pt idx="27">
                    <c:v>NREL3</c:v>
                  </c:pt>
                  <c:pt idx="28">
                    <c:v>EIA1</c:v>
                  </c:pt>
                  <c:pt idx="29">
                    <c:v>EIA2</c:v>
                  </c:pt>
                  <c:pt idx="30">
                    <c:v>EIA3</c:v>
                  </c:pt>
                  <c:pt idx="31">
                    <c:v>EIA4</c:v>
                  </c:pt>
                  <c:pt idx="32">
                    <c:v>EIA5</c:v>
                  </c:pt>
                  <c:pt idx="33">
                    <c:v>EIA6</c:v>
                  </c:pt>
                  <c:pt idx="34">
                    <c:v>EIA7</c:v>
                  </c:pt>
                  <c:pt idx="35">
                    <c:v>EIA8</c:v>
                  </c:pt>
                  <c:pt idx="36">
                    <c:v>EIA9</c:v>
                  </c:pt>
                </c:lvl>
                <c:lvl>
                  <c:pt idx="1">
                    <c:v>2035</c:v>
                  </c:pt>
                  <c:pt idx="13">
                    <c:v>2040</c:v>
                  </c:pt>
                  <c:pt idx="25">
                    <c:v>2050</c:v>
                  </c:pt>
                </c:lvl>
              </c:multiLvlStrCache>
            </c:multiLvlStrRef>
          </c:cat>
          <c:val>
            <c:numRef>
              <c:f>'SI Table 2'!$B$31:$AL$31</c:f>
              <c:numCache>
                <c:formatCode>#,##0.0</c:formatCode>
                <c:ptCount val="37"/>
                <c:pt idx="0">
                  <c:v>0.122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1.708</c:v>
                </c:pt>
                <c:pt idx="5">
                  <c:v>1.952</c:v>
                </c:pt>
                <c:pt idx="6">
                  <c:v>1.5249999999999999</c:v>
                </c:pt>
                <c:pt idx="7">
                  <c:v>2.379</c:v>
                </c:pt>
                <c:pt idx="8">
                  <c:v>1.5860000000000001</c:v>
                </c:pt>
                <c:pt idx="9">
                  <c:v>1.708</c:v>
                </c:pt>
                <c:pt idx="10">
                  <c:v>1.708</c:v>
                </c:pt>
                <c:pt idx="11">
                  <c:v>1.708</c:v>
                </c:pt>
                <c:pt idx="12">
                  <c:v>1.708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2.1960000000000002</c:v>
                </c:pt>
                <c:pt idx="17">
                  <c:v>2.5619999999999998</c:v>
                </c:pt>
                <c:pt idx="18">
                  <c:v>1.891</c:v>
                </c:pt>
                <c:pt idx="19">
                  <c:v>3.05</c:v>
                </c:pt>
                <c:pt idx="20">
                  <c:v>1.952</c:v>
                </c:pt>
                <c:pt idx="21">
                  <c:v>2.1349999999999998</c:v>
                </c:pt>
                <c:pt idx="22">
                  <c:v>2.1960000000000002</c:v>
                </c:pt>
                <c:pt idx="23">
                  <c:v>2.1349999999999998</c:v>
                </c:pt>
                <c:pt idx="24">
                  <c:v>2.1960000000000002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2.9279999999999999</c:v>
                </c:pt>
                <c:pt idx="29">
                  <c:v>3.782</c:v>
                </c:pt>
                <c:pt idx="30">
                  <c:v>2.5619999999999998</c:v>
                </c:pt>
                <c:pt idx="31">
                  <c:v>4.0869999999999997</c:v>
                </c:pt>
                <c:pt idx="32">
                  <c:v>2.5619999999999998</c:v>
                </c:pt>
                <c:pt idx="33">
                  <c:v>2.806</c:v>
                </c:pt>
                <c:pt idx="34">
                  <c:v>2.9889999999999999</c:v>
                </c:pt>
                <c:pt idx="35">
                  <c:v>2.867</c:v>
                </c:pt>
                <c:pt idx="36">
                  <c:v>2.9279999999999999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9F48-4F84-B9AC-3532D0BF500F}"/>
            </c:ext>
          </c:extLst>
        </c:ser>
        <c:ser>
          <c:idx val="3"/>
          <c:order val="3"/>
          <c:tx>
            <c:strRef>
              <c:f>'SI Table 2'!$A$32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EEE1A"/>
            </a:solidFill>
            <a:ln>
              <a:noFill/>
            </a:ln>
            <a:effectLst/>
          </c:spPr>
          <c:invertIfNegative val="0"/>
          <c:cat>
            <c:multiLvlStrRef>
              <c:f>'SI Table 2'!$B$27:$AL$28</c:f>
              <c:multiLvlStrCache>
                <c:ptCount val="37"/>
                <c:lvl>
                  <c:pt idx="0">
                    <c:v>2020</c:v>
                  </c:pt>
                  <c:pt idx="1">
                    <c:v>NREL1</c:v>
                  </c:pt>
                  <c:pt idx="2">
                    <c:v>NREL2</c:v>
                  </c:pt>
                  <c:pt idx="3">
                    <c:v>NREL3</c:v>
                  </c:pt>
                  <c:pt idx="4">
                    <c:v>EIA1</c:v>
                  </c:pt>
                  <c:pt idx="5">
                    <c:v>EIA2</c:v>
                  </c:pt>
                  <c:pt idx="6">
                    <c:v>EIA3</c:v>
                  </c:pt>
                  <c:pt idx="7">
                    <c:v>EIA4</c:v>
                  </c:pt>
                  <c:pt idx="8">
                    <c:v>EIA5</c:v>
                  </c:pt>
                  <c:pt idx="9">
                    <c:v>EIA6</c:v>
                  </c:pt>
                  <c:pt idx="10">
                    <c:v>EIA7</c:v>
                  </c:pt>
                  <c:pt idx="11">
                    <c:v>EIA8</c:v>
                  </c:pt>
                  <c:pt idx="12">
                    <c:v>EIA9</c:v>
                  </c:pt>
                  <c:pt idx="13">
                    <c:v>NREL1</c:v>
                  </c:pt>
                  <c:pt idx="14">
                    <c:v>NREL2</c:v>
                  </c:pt>
                  <c:pt idx="15">
                    <c:v>NREL3</c:v>
                  </c:pt>
                  <c:pt idx="16">
                    <c:v>EIA1</c:v>
                  </c:pt>
                  <c:pt idx="17">
                    <c:v>EIA2</c:v>
                  </c:pt>
                  <c:pt idx="18">
                    <c:v>EIA3</c:v>
                  </c:pt>
                  <c:pt idx="19">
                    <c:v>EIA4</c:v>
                  </c:pt>
                  <c:pt idx="20">
                    <c:v>EIA5</c:v>
                  </c:pt>
                  <c:pt idx="21">
                    <c:v>EIA6</c:v>
                  </c:pt>
                  <c:pt idx="22">
                    <c:v>EIA7</c:v>
                  </c:pt>
                  <c:pt idx="23">
                    <c:v>EIA8</c:v>
                  </c:pt>
                  <c:pt idx="24">
                    <c:v>EIA9</c:v>
                  </c:pt>
                  <c:pt idx="25">
                    <c:v>NREL1</c:v>
                  </c:pt>
                  <c:pt idx="26">
                    <c:v>NREL2</c:v>
                  </c:pt>
                  <c:pt idx="27">
                    <c:v>NREL3</c:v>
                  </c:pt>
                  <c:pt idx="28">
                    <c:v>EIA1</c:v>
                  </c:pt>
                  <c:pt idx="29">
                    <c:v>EIA2</c:v>
                  </c:pt>
                  <c:pt idx="30">
                    <c:v>EIA3</c:v>
                  </c:pt>
                  <c:pt idx="31">
                    <c:v>EIA4</c:v>
                  </c:pt>
                  <c:pt idx="32">
                    <c:v>EIA5</c:v>
                  </c:pt>
                  <c:pt idx="33">
                    <c:v>EIA6</c:v>
                  </c:pt>
                  <c:pt idx="34">
                    <c:v>EIA7</c:v>
                  </c:pt>
                  <c:pt idx="35">
                    <c:v>EIA8</c:v>
                  </c:pt>
                  <c:pt idx="36">
                    <c:v>EIA9</c:v>
                  </c:pt>
                </c:lvl>
                <c:lvl>
                  <c:pt idx="1">
                    <c:v>2035</c:v>
                  </c:pt>
                  <c:pt idx="13">
                    <c:v>2040</c:v>
                  </c:pt>
                  <c:pt idx="25">
                    <c:v>2050</c:v>
                  </c:pt>
                </c:lvl>
              </c:multiLvlStrCache>
            </c:multiLvlStrRef>
          </c:cat>
          <c:val>
            <c:numRef>
              <c:f>'SI Table 2'!$B$32:$AL$32</c:f>
              <c:numCache>
                <c:formatCode>#,##0.0</c:formatCode>
                <c:ptCount val="37"/>
                <c:pt idx="0">
                  <c:v>0.2888</c:v>
                </c:pt>
                <c:pt idx="1">
                  <c:v>1.2045999999999999</c:v>
                </c:pt>
                <c:pt idx="2">
                  <c:v>2.2496</c:v>
                </c:pt>
                <c:pt idx="3">
                  <c:v>3.1920000000000002</c:v>
                </c:pt>
                <c:pt idx="4">
                  <c:v>1.3908</c:v>
                </c:pt>
                <c:pt idx="5">
                  <c:v>1.4136</c:v>
                </c:pt>
                <c:pt idx="6">
                  <c:v>1.4212</c:v>
                </c:pt>
                <c:pt idx="7">
                  <c:v>1.6948000000000001</c:v>
                </c:pt>
                <c:pt idx="8">
                  <c:v>1.3717999999999999</c:v>
                </c:pt>
                <c:pt idx="9">
                  <c:v>1.1628000000000001</c:v>
                </c:pt>
                <c:pt idx="10">
                  <c:v>1.786</c:v>
                </c:pt>
                <c:pt idx="11">
                  <c:v>0.97660000000000002</c:v>
                </c:pt>
                <c:pt idx="12">
                  <c:v>1.7442</c:v>
                </c:pt>
                <c:pt idx="13">
                  <c:v>1.4136</c:v>
                </c:pt>
                <c:pt idx="14">
                  <c:v>3.0893999999999999</c:v>
                </c:pt>
                <c:pt idx="15">
                  <c:v>3.7202000000000002</c:v>
                </c:pt>
                <c:pt idx="16">
                  <c:v>1.6415999999999999</c:v>
                </c:pt>
                <c:pt idx="17">
                  <c:v>1.7898000000000001</c:v>
                </c:pt>
                <c:pt idx="18">
                  <c:v>1.5922000000000001</c:v>
                </c:pt>
                <c:pt idx="19">
                  <c:v>2.0329999999999999</c:v>
                </c:pt>
                <c:pt idx="20">
                  <c:v>1.615</c:v>
                </c:pt>
                <c:pt idx="21">
                  <c:v>1.3642000000000001</c:v>
                </c:pt>
                <c:pt idx="22">
                  <c:v>2.052</c:v>
                </c:pt>
                <c:pt idx="23">
                  <c:v>1.1057999999999999</c:v>
                </c:pt>
                <c:pt idx="24">
                  <c:v>2.09</c:v>
                </c:pt>
                <c:pt idx="25">
                  <c:v>2.0482</c:v>
                </c:pt>
                <c:pt idx="26">
                  <c:v>4.6929999999999996</c:v>
                </c:pt>
                <c:pt idx="27">
                  <c:v>4.6816000000000004</c:v>
                </c:pt>
                <c:pt idx="28">
                  <c:v>2.2002000000000002</c:v>
                </c:pt>
                <c:pt idx="29">
                  <c:v>2.4889999999999999</c:v>
                </c:pt>
                <c:pt idx="30">
                  <c:v>1.976</c:v>
                </c:pt>
                <c:pt idx="31">
                  <c:v>2.6143999999999998</c:v>
                </c:pt>
                <c:pt idx="32">
                  <c:v>2.0975999999999999</c:v>
                </c:pt>
                <c:pt idx="33">
                  <c:v>1.8544</c:v>
                </c:pt>
                <c:pt idx="34">
                  <c:v>2.7170000000000001</c:v>
                </c:pt>
                <c:pt idx="35">
                  <c:v>1.4478</c:v>
                </c:pt>
                <c:pt idx="36">
                  <c:v>3.0628000000000002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F48-4F84-B9AC-3532D0BF500F}"/>
            </c:ext>
          </c:extLst>
        </c:ser>
        <c:ser>
          <c:idx val="5"/>
          <c:order val="4"/>
          <c:tx>
            <c:strRef>
              <c:f>'SI Table 2'!$A$33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'SI Table 2'!$B$27:$AL$28</c:f>
              <c:multiLvlStrCache>
                <c:ptCount val="37"/>
                <c:lvl>
                  <c:pt idx="0">
                    <c:v>2020</c:v>
                  </c:pt>
                  <c:pt idx="1">
                    <c:v>NREL1</c:v>
                  </c:pt>
                  <c:pt idx="2">
                    <c:v>NREL2</c:v>
                  </c:pt>
                  <c:pt idx="3">
                    <c:v>NREL3</c:v>
                  </c:pt>
                  <c:pt idx="4">
                    <c:v>EIA1</c:v>
                  </c:pt>
                  <c:pt idx="5">
                    <c:v>EIA2</c:v>
                  </c:pt>
                  <c:pt idx="6">
                    <c:v>EIA3</c:v>
                  </c:pt>
                  <c:pt idx="7">
                    <c:v>EIA4</c:v>
                  </c:pt>
                  <c:pt idx="8">
                    <c:v>EIA5</c:v>
                  </c:pt>
                  <c:pt idx="9">
                    <c:v>EIA6</c:v>
                  </c:pt>
                  <c:pt idx="10">
                    <c:v>EIA7</c:v>
                  </c:pt>
                  <c:pt idx="11">
                    <c:v>EIA8</c:v>
                  </c:pt>
                  <c:pt idx="12">
                    <c:v>EIA9</c:v>
                  </c:pt>
                  <c:pt idx="13">
                    <c:v>NREL1</c:v>
                  </c:pt>
                  <c:pt idx="14">
                    <c:v>NREL2</c:v>
                  </c:pt>
                  <c:pt idx="15">
                    <c:v>NREL3</c:v>
                  </c:pt>
                  <c:pt idx="16">
                    <c:v>EIA1</c:v>
                  </c:pt>
                  <c:pt idx="17">
                    <c:v>EIA2</c:v>
                  </c:pt>
                  <c:pt idx="18">
                    <c:v>EIA3</c:v>
                  </c:pt>
                  <c:pt idx="19">
                    <c:v>EIA4</c:v>
                  </c:pt>
                  <c:pt idx="20">
                    <c:v>EIA5</c:v>
                  </c:pt>
                  <c:pt idx="21">
                    <c:v>EIA6</c:v>
                  </c:pt>
                  <c:pt idx="22">
                    <c:v>EIA7</c:v>
                  </c:pt>
                  <c:pt idx="23">
                    <c:v>EIA8</c:v>
                  </c:pt>
                  <c:pt idx="24">
                    <c:v>EIA9</c:v>
                  </c:pt>
                  <c:pt idx="25">
                    <c:v>NREL1</c:v>
                  </c:pt>
                  <c:pt idx="26">
                    <c:v>NREL2</c:v>
                  </c:pt>
                  <c:pt idx="27">
                    <c:v>NREL3</c:v>
                  </c:pt>
                  <c:pt idx="28">
                    <c:v>EIA1</c:v>
                  </c:pt>
                  <c:pt idx="29">
                    <c:v>EIA2</c:v>
                  </c:pt>
                  <c:pt idx="30">
                    <c:v>EIA3</c:v>
                  </c:pt>
                  <c:pt idx="31">
                    <c:v>EIA4</c:v>
                  </c:pt>
                  <c:pt idx="32">
                    <c:v>EIA5</c:v>
                  </c:pt>
                  <c:pt idx="33">
                    <c:v>EIA6</c:v>
                  </c:pt>
                  <c:pt idx="34">
                    <c:v>EIA7</c:v>
                  </c:pt>
                  <c:pt idx="35">
                    <c:v>EIA8</c:v>
                  </c:pt>
                  <c:pt idx="36">
                    <c:v>EIA9</c:v>
                  </c:pt>
                </c:lvl>
                <c:lvl>
                  <c:pt idx="1">
                    <c:v>2035</c:v>
                  </c:pt>
                  <c:pt idx="13">
                    <c:v>2040</c:v>
                  </c:pt>
                  <c:pt idx="25">
                    <c:v>2050</c:v>
                  </c:pt>
                </c:lvl>
              </c:multiLvlStrCache>
            </c:multiLvlStrRef>
          </c:cat>
          <c:val>
            <c:numRef>
              <c:f>'SI Table 2'!$B$33:$AL$33</c:f>
              <c:numCache>
                <c:formatCode>#,##0.0</c:formatCode>
                <c:ptCount val="37"/>
                <c:pt idx="0">
                  <c:v>0.51249999999999996</c:v>
                </c:pt>
                <c:pt idx="1">
                  <c:v>0.95530000000000004</c:v>
                </c:pt>
                <c:pt idx="2">
                  <c:v>1.1931</c:v>
                </c:pt>
                <c:pt idx="3">
                  <c:v>2.2181000000000002</c:v>
                </c:pt>
                <c:pt idx="4">
                  <c:v>0.83640000000000003</c:v>
                </c:pt>
                <c:pt idx="5">
                  <c:v>0.84460000000000002</c:v>
                </c:pt>
                <c:pt idx="6">
                  <c:v>0.81179999999999997</c:v>
                </c:pt>
                <c:pt idx="7">
                  <c:v>0.88970000000000005</c:v>
                </c:pt>
                <c:pt idx="8">
                  <c:v>0.83230000000000004</c:v>
                </c:pt>
                <c:pt idx="9">
                  <c:v>0.80359999999999998</c:v>
                </c:pt>
                <c:pt idx="10">
                  <c:v>0.99629999999999996</c:v>
                </c:pt>
                <c:pt idx="11">
                  <c:v>0.84460000000000002</c:v>
                </c:pt>
                <c:pt idx="12">
                  <c:v>0.93889999999999996</c:v>
                </c:pt>
                <c:pt idx="13">
                  <c:v>1.0619000000000001</c:v>
                </c:pt>
                <c:pt idx="14">
                  <c:v>1.6153999999999999</c:v>
                </c:pt>
                <c:pt idx="15">
                  <c:v>2.7387999999999999</c:v>
                </c:pt>
                <c:pt idx="16">
                  <c:v>0.86509999999999998</c:v>
                </c:pt>
                <c:pt idx="17">
                  <c:v>0.88970000000000005</c:v>
                </c:pt>
                <c:pt idx="18">
                  <c:v>0.81589999999999996</c:v>
                </c:pt>
                <c:pt idx="19">
                  <c:v>0.95120000000000005</c:v>
                </c:pt>
                <c:pt idx="20">
                  <c:v>0.84460000000000002</c:v>
                </c:pt>
                <c:pt idx="21">
                  <c:v>0.82</c:v>
                </c:pt>
                <c:pt idx="22">
                  <c:v>1.0660000000000001</c:v>
                </c:pt>
                <c:pt idx="23">
                  <c:v>0.86509999999999998</c:v>
                </c:pt>
                <c:pt idx="24">
                  <c:v>1.0824</c:v>
                </c:pt>
                <c:pt idx="25">
                  <c:v>1.2464</c:v>
                </c:pt>
                <c:pt idx="26">
                  <c:v>3.1282999999999999</c:v>
                </c:pt>
                <c:pt idx="27">
                  <c:v>3.6859000000000002</c:v>
                </c:pt>
                <c:pt idx="28">
                  <c:v>0.93889999999999996</c:v>
                </c:pt>
                <c:pt idx="29">
                  <c:v>0.98399999999999999</c:v>
                </c:pt>
                <c:pt idx="30">
                  <c:v>0.88970000000000005</c:v>
                </c:pt>
                <c:pt idx="31">
                  <c:v>1.0044999999999999</c:v>
                </c:pt>
                <c:pt idx="32">
                  <c:v>0.91839999999999999</c:v>
                </c:pt>
                <c:pt idx="33">
                  <c:v>0.90610000000000002</c:v>
                </c:pt>
                <c:pt idx="34">
                  <c:v>1.2259</c:v>
                </c:pt>
                <c:pt idx="35">
                  <c:v>0.97989999999999999</c:v>
                </c:pt>
                <c:pt idx="36">
                  <c:v>1.4432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9F48-4F84-B9AC-3532D0BF500F}"/>
            </c:ext>
          </c:extLst>
        </c:ser>
        <c:ser>
          <c:idx val="8"/>
          <c:order val="5"/>
          <c:tx>
            <c:v>Growth, XX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'SI Table 2'!$B$27:$AL$28</c:f>
              <c:multiLvlStrCache>
                <c:ptCount val="37"/>
                <c:lvl>
                  <c:pt idx="0">
                    <c:v>2020</c:v>
                  </c:pt>
                  <c:pt idx="1">
                    <c:v>NREL1</c:v>
                  </c:pt>
                  <c:pt idx="2">
                    <c:v>NREL2</c:v>
                  </c:pt>
                  <c:pt idx="3">
                    <c:v>NREL3</c:v>
                  </c:pt>
                  <c:pt idx="4">
                    <c:v>EIA1</c:v>
                  </c:pt>
                  <c:pt idx="5">
                    <c:v>EIA2</c:v>
                  </c:pt>
                  <c:pt idx="6">
                    <c:v>EIA3</c:v>
                  </c:pt>
                  <c:pt idx="7">
                    <c:v>EIA4</c:v>
                  </c:pt>
                  <c:pt idx="8">
                    <c:v>EIA5</c:v>
                  </c:pt>
                  <c:pt idx="9">
                    <c:v>EIA6</c:v>
                  </c:pt>
                  <c:pt idx="10">
                    <c:v>EIA7</c:v>
                  </c:pt>
                  <c:pt idx="11">
                    <c:v>EIA8</c:v>
                  </c:pt>
                  <c:pt idx="12">
                    <c:v>EIA9</c:v>
                  </c:pt>
                  <c:pt idx="13">
                    <c:v>NREL1</c:v>
                  </c:pt>
                  <c:pt idx="14">
                    <c:v>NREL2</c:v>
                  </c:pt>
                  <c:pt idx="15">
                    <c:v>NREL3</c:v>
                  </c:pt>
                  <c:pt idx="16">
                    <c:v>EIA1</c:v>
                  </c:pt>
                  <c:pt idx="17">
                    <c:v>EIA2</c:v>
                  </c:pt>
                  <c:pt idx="18">
                    <c:v>EIA3</c:v>
                  </c:pt>
                  <c:pt idx="19">
                    <c:v>EIA4</c:v>
                  </c:pt>
                  <c:pt idx="20">
                    <c:v>EIA5</c:v>
                  </c:pt>
                  <c:pt idx="21">
                    <c:v>EIA6</c:v>
                  </c:pt>
                  <c:pt idx="22">
                    <c:v>EIA7</c:v>
                  </c:pt>
                  <c:pt idx="23">
                    <c:v>EIA8</c:v>
                  </c:pt>
                  <c:pt idx="24">
                    <c:v>EIA9</c:v>
                  </c:pt>
                  <c:pt idx="25">
                    <c:v>NREL1</c:v>
                  </c:pt>
                  <c:pt idx="26">
                    <c:v>NREL2</c:v>
                  </c:pt>
                  <c:pt idx="27">
                    <c:v>NREL3</c:v>
                  </c:pt>
                  <c:pt idx="28">
                    <c:v>EIA1</c:v>
                  </c:pt>
                  <c:pt idx="29">
                    <c:v>EIA2</c:v>
                  </c:pt>
                  <c:pt idx="30">
                    <c:v>EIA3</c:v>
                  </c:pt>
                  <c:pt idx="31">
                    <c:v>EIA4</c:v>
                  </c:pt>
                  <c:pt idx="32">
                    <c:v>EIA5</c:v>
                  </c:pt>
                  <c:pt idx="33">
                    <c:v>EIA6</c:v>
                  </c:pt>
                  <c:pt idx="34">
                    <c:v>EIA7</c:v>
                  </c:pt>
                  <c:pt idx="35">
                    <c:v>EIA8</c:v>
                  </c:pt>
                  <c:pt idx="36">
                    <c:v>EIA9</c:v>
                  </c:pt>
                </c:lvl>
                <c:lvl>
                  <c:pt idx="1">
                    <c:v>2035</c:v>
                  </c:pt>
                  <c:pt idx="13">
                    <c:v>2040</c:v>
                  </c:pt>
                  <c:pt idx="25">
                    <c:v>2050</c:v>
                  </c:pt>
                </c:lvl>
              </c:multiLvlStrCache>
            </c:multiLvlStrRef>
          </c:cat>
          <c:val>
            <c:numRef>
              <c:f>'SI Table 2'!$C$39:$AL$39</c:f>
              <c:numCache>
                <c:formatCode>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9F48-4F84-B9AC-3532D0BF500F}"/>
            </c:ext>
          </c:extLst>
        </c:ser>
        <c:ser>
          <c:idx val="4"/>
          <c:order val="6"/>
          <c:tx>
            <c:strRef>
              <c:f>'SI Table 2'!$A$37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0000"/>
            </a:solidFill>
            <a:effectLst/>
          </c:spPr>
          <c:invertIfNegative val="0"/>
          <c:cat>
            <c:multiLvlStrRef>
              <c:f>'SI Table 2'!$B$27:$AL$28</c:f>
              <c:multiLvlStrCache>
                <c:ptCount val="37"/>
                <c:lvl>
                  <c:pt idx="0">
                    <c:v>2020</c:v>
                  </c:pt>
                  <c:pt idx="1">
                    <c:v>NREL1</c:v>
                  </c:pt>
                  <c:pt idx="2">
                    <c:v>NREL2</c:v>
                  </c:pt>
                  <c:pt idx="3">
                    <c:v>NREL3</c:v>
                  </c:pt>
                  <c:pt idx="4">
                    <c:v>EIA1</c:v>
                  </c:pt>
                  <c:pt idx="5">
                    <c:v>EIA2</c:v>
                  </c:pt>
                  <c:pt idx="6">
                    <c:v>EIA3</c:v>
                  </c:pt>
                  <c:pt idx="7">
                    <c:v>EIA4</c:v>
                  </c:pt>
                  <c:pt idx="8">
                    <c:v>EIA5</c:v>
                  </c:pt>
                  <c:pt idx="9">
                    <c:v>EIA6</c:v>
                  </c:pt>
                  <c:pt idx="10">
                    <c:v>EIA7</c:v>
                  </c:pt>
                  <c:pt idx="11">
                    <c:v>EIA8</c:v>
                  </c:pt>
                  <c:pt idx="12">
                    <c:v>EIA9</c:v>
                  </c:pt>
                  <c:pt idx="13">
                    <c:v>NREL1</c:v>
                  </c:pt>
                  <c:pt idx="14">
                    <c:v>NREL2</c:v>
                  </c:pt>
                  <c:pt idx="15">
                    <c:v>NREL3</c:v>
                  </c:pt>
                  <c:pt idx="16">
                    <c:v>EIA1</c:v>
                  </c:pt>
                  <c:pt idx="17">
                    <c:v>EIA2</c:v>
                  </c:pt>
                  <c:pt idx="18">
                    <c:v>EIA3</c:v>
                  </c:pt>
                  <c:pt idx="19">
                    <c:v>EIA4</c:v>
                  </c:pt>
                  <c:pt idx="20">
                    <c:v>EIA5</c:v>
                  </c:pt>
                  <c:pt idx="21">
                    <c:v>EIA6</c:v>
                  </c:pt>
                  <c:pt idx="22">
                    <c:v>EIA7</c:v>
                  </c:pt>
                  <c:pt idx="23">
                    <c:v>EIA8</c:v>
                  </c:pt>
                  <c:pt idx="24">
                    <c:v>EIA9</c:v>
                  </c:pt>
                  <c:pt idx="25">
                    <c:v>NREL1</c:v>
                  </c:pt>
                  <c:pt idx="26">
                    <c:v>NREL2</c:v>
                  </c:pt>
                  <c:pt idx="27">
                    <c:v>NREL3</c:v>
                  </c:pt>
                  <c:pt idx="28">
                    <c:v>EIA1</c:v>
                  </c:pt>
                  <c:pt idx="29">
                    <c:v>EIA2</c:v>
                  </c:pt>
                  <c:pt idx="30">
                    <c:v>EIA3</c:v>
                  </c:pt>
                  <c:pt idx="31">
                    <c:v>EIA4</c:v>
                  </c:pt>
                  <c:pt idx="32">
                    <c:v>EIA5</c:v>
                  </c:pt>
                  <c:pt idx="33">
                    <c:v>EIA6</c:v>
                  </c:pt>
                  <c:pt idx="34">
                    <c:v>EIA7</c:v>
                  </c:pt>
                  <c:pt idx="35">
                    <c:v>EIA8</c:v>
                  </c:pt>
                  <c:pt idx="36">
                    <c:v>EIA9</c:v>
                  </c:pt>
                </c:lvl>
                <c:lvl>
                  <c:pt idx="1">
                    <c:v>2035</c:v>
                  </c:pt>
                  <c:pt idx="13">
                    <c:v>2040</c:v>
                  </c:pt>
                  <c:pt idx="25">
                    <c:v>2050</c:v>
                  </c:pt>
                </c:lvl>
              </c:multiLvlStrCache>
            </c:multiLvlStrRef>
          </c:cat>
          <c:val>
            <c:numRef>
              <c:f>'SI Table 2'!$B$37:$AL$37</c:f>
              <c:numCache>
                <c:formatCode>#,##0.0</c:formatCode>
                <c:ptCount val="37"/>
                <c:pt idx="0">
                  <c:v>0.2339</c:v>
                </c:pt>
                <c:pt idx="1">
                  <c:v>0.23330000000000001</c:v>
                </c:pt>
                <c:pt idx="2">
                  <c:v>0.23861583589999999</c:v>
                </c:pt>
                <c:pt idx="3">
                  <c:v>0.24742669050000002</c:v>
                </c:pt>
                <c:pt idx="4">
                  <c:v>0.21479999999999999</c:v>
                </c:pt>
                <c:pt idx="5">
                  <c:v>0.2208</c:v>
                </c:pt>
                <c:pt idx="6">
                  <c:v>0.20989999999999998</c:v>
                </c:pt>
                <c:pt idx="7">
                  <c:v>0.21089999999999998</c:v>
                </c:pt>
                <c:pt idx="8">
                  <c:v>0.21759999999999999</c:v>
                </c:pt>
                <c:pt idx="9">
                  <c:v>0.17539999999999997</c:v>
                </c:pt>
                <c:pt idx="10">
                  <c:v>0.2341</c:v>
                </c:pt>
                <c:pt idx="11">
                  <c:v>0.21959999999999999</c:v>
                </c:pt>
                <c:pt idx="12">
                  <c:v>0.19800000000000001</c:v>
                </c:pt>
                <c:pt idx="13">
                  <c:v>0.2349</c:v>
                </c:pt>
                <c:pt idx="14">
                  <c:v>0.25042836489999998</c:v>
                </c:pt>
                <c:pt idx="15">
                  <c:v>0.2655094455</c:v>
                </c:pt>
                <c:pt idx="16">
                  <c:v>0.2135</c:v>
                </c:pt>
                <c:pt idx="17">
                  <c:v>0.22159999999999999</c:v>
                </c:pt>
                <c:pt idx="18">
                  <c:v>0.21009999999999998</c:v>
                </c:pt>
                <c:pt idx="19">
                  <c:v>0.21189999999999998</c:v>
                </c:pt>
                <c:pt idx="20">
                  <c:v>0.21839999999999998</c:v>
                </c:pt>
                <c:pt idx="21">
                  <c:v>0.17259999999999998</c:v>
                </c:pt>
                <c:pt idx="22">
                  <c:v>0.23950000000000002</c:v>
                </c:pt>
                <c:pt idx="23">
                  <c:v>0.21959999999999999</c:v>
                </c:pt>
                <c:pt idx="24">
                  <c:v>0.19469999999999998</c:v>
                </c:pt>
                <c:pt idx="25">
                  <c:v>0.24110000000000001</c:v>
                </c:pt>
                <c:pt idx="26">
                  <c:v>0.27873370050000001</c:v>
                </c:pt>
                <c:pt idx="27">
                  <c:v>0.28137350049999998</c:v>
                </c:pt>
                <c:pt idx="28">
                  <c:v>0.21509999999999999</c:v>
                </c:pt>
                <c:pt idx="29">
                  <c:v>0.22520000000000001</c:v>
                </c:pt>
                <c:pt idx="30">
                  <c:v>0.21239999999999998</c:v>
                </c:pt>
                <c:pt idx="31">
                  <c:v>0.21500000000000002</c:v>
                </c:pt>
                <c:pt idx="32">
                  <c:v>0.21679999999999999</c:v>
                </c:pt>
                <c:pt idx="33">
                  <c:v>0.16909999999999997</c:v>
                </c:pt>
                <c:pt idx="34">
                  <c:v>0.24979999999999997</c:v>
                </c:pt>
                <c:pt idx="35">
                  <c:v>0.22109999999999999</c:v>
                </c:pt>
                <c:pt idx="36">
                  <c:v>0.17609999999999998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F48-4F84-B9AC-3532D0BF5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616308288"/>
        <c:axId val="616317024"/>
      </c:barChart>
      <c:lineChart>
        <c:grouping val="standard"/>
        <c:varyColors val="0"/>
        <c:ser>
          <c:idx val="9"/>
          <c:order val="7"/>
          <c:tx>
            <c:strRef>
              <c:f>'SI Table 2'!$A$119</c:f>
              <c:strCache>
                <c:ptCount val="1"/>
                <c:pt idx="0">
                  <c:v>Total projected CO2 emissions, Mt</c:v>
                </c:pt>
              </c:strCache>
            </c:strRef>
          </c:tx>
          <c:spPr>
            <a:ln>
              <a:solidFill>
                <a:schemeClr val="bg2">
                  <a:lumMod val="50000"/>
                  <a:alpha val="5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'SI Table 2'!$B$119:$AL$119</c:f>
              <c:numCache>
                <c:formatCode>#,##0.0</c:formatCode>
                <c:ptCount val="37"/>
                <c:pt idx="0">
                  <c:v>26.81117379310345</c:v>
                </c:pt>
                <c:pt idx="1">
                  <c:v>52.931102504537201</c:v>
                </c:pt>
                <c:pt idx="2">
                  <c:v>78.220485081384027</c:v>
                </c:pt>
                <c:pt idx="3">
                  <c:v>116.42765171121845</c:v>
                </c:pt>
                <c:pt idx="4">
                  <c:v>62.680628733212338</c:v>
                </c:pt>
                <c:pt idx="5">
                  <c:v>64.985720537205069</c:v>
                </c:pt>
                <c:pt idx="6">
                  <c:v>61.412855782214159</c:v>
                </c:pt>
                <c:pt idx="7">
                  <c:v>73.322590214156079</c:v>
                </c:pt>
                <c:pt idx="8">
                  <c:v>61.600673814882022</c:v>
                </c:pt>
                <c:pt idx="9">
                  <c:v>55.978294301270424</c:v>
                </c:pt>
                <c:pt idx="10">
                  <c:v>74.406113989110708</c:v>
                </c:pt>
                <c:pt idx="11">
                  <c:v>55.005811513611604</c:v>
                </c:pt>
                <c:pt idx="12">
                  <c:v>70.65661890381125</c:v>
                </c:pt>
                <c:pt idx="13">
                  <c:v>59.168500050816697</c:v>
                </c:pt>
                <c:pt idx="14">
                  <c:v>104.54573562478964</c:v>
                </c:pt>
                <c:pt idx="15">
                  <c:v>140.20033428502168</c:v>
                </c:pt>
                <c:pt idx="16">
                  <c:v>70.817170540834852</c:v>
                </c:pt>
                <c:pt idx="17">
                  <c:v>76.722492675136138</c:v>
                </c:pt>
                <c:pt idx="18">
                  <c:v>66.945632014519063</c:v>
                </c:pt>
                <c:pt idx="19">
                  <c:v>85.055207433756806</c:v>
                </c:pt>
                <c:pt idx="20">
                  <c:v>68.78923365517241</c:v>
                </c:pt>
                <c:pt idx="21">
                  <c:v>62.534589386569863</c:v>
                </c:pt>
                <c:pt idx="22">
                  <c:v>84.952486127041766</c:v>
                </c:pt>
                <c:pt idx="23">
                  <c:v>60.36105987658803</c:v>
                </c:pt>
                <c:pt idx="24">
                  <c:v>83.380738584392006</c:v>
                </c:pt>
                <c:pt idx="25">
                  <c:v>76.596791869328484</c:v>
                </c:pt>
                <c:pt idx="26">
                  <c:v>169.42801975261804</c:v>
                </c:pt>
                <c:pt idx="27">
                  <c:v>179.79318281863624</c:v>
                </c:pt>
                <c:pt idx="28">
                  <c:v>87.429010715063512</c:v>
                </c:pt>
                <c:pt idx="29">
                  <c:v>99.779664000000011</c:v>
                </c:pt>
                <c:pt idx="30">
                  <c:v>79.770113989110698</c:v>
                </c:pt>
                <c:pt idx="31">
                  <c:v>104.25771236297642</c:v>
                </c:pt>
                <c:pt idx="32">
                  <c:v>83.057081205081687</c:v>
                </c:pt>
                <c:pt idx="33">
                  <c:v>77.362218903811268</c:v>
                </c:pt>
                <c:pt idx="34">
                  <c:v>107.36855089655174</c:v>
                </c:pt>
                <c:pt idx="35">
                  <c:v>73.294186932849371</c:v>
                </c:pt>
                <c:pt idx="36">
                  <c:v>115.32766893647913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09-4FC4-91F0-99C2EE360404}"/>
            </c:ext>
          </c:extLst>
        </c:ser>
        <c:ser>
          <c:idx val="6"/>
          <c:order val="10"/>
          <c:tx>
            <c:strRef>
              <c:f>'SI Table 2'!$A$106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2">
                  <a:lumMod val="50000"/>
                  <a:alpha val="5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'SI Table 2'!$B$106:$AL$106</c:f>
              <c:numCache>
                <c:formatCode>#,##0.0</c:formatCode>
                <c:ptCount val="37"/>
                <c:pt idx="0">
                  <c:v>8.9370579310344844</c:v>
                </c:pt>
                <c:pt idx="1">
                  <c:v>17.643700834845735</c:v>
                </c:pt>
                <c:pt idx="2">
                  <c:v>26.073495027128008</c:v>
                </c:pt>
                <c:pt idx="3">
                  <c:v>38.809217237072815</c:v>
                </c:pt>
                <c:pt idx="4">
                  <c:v>20.893542911070778</c:v>
                </c:pt>
                <c:pt idx="5">
                  <c:v>21.661906845735025</c:v>
                </c:pt>
                <c:pt idx="6">
                  <c:v>20.470951927404712</c:v>
                </c:pt>
                <c:pt idx="7">
                  <c:v>24.440863404718691</c:v>
                </c:pt>
                <c:pt idx="8">
                  <c:v>20.53355793829401</c:v>
                </c:pt>
                <c:pt idx="9">
                  <c:v>18.659431433756801</c:v>
                </c:pt>
                <c:pt idx="10">
                  <c:v>24.802037996370231</c:v>
                </c:pt>
                <c:pt idx="11">
                  <c:v>18.335270504537203</c:v>
                </c:pt>
                <c:pt idx="12">
                  <c:v>23.55220630127042</c:v>
                </c:pt>
                <c:pt idx="13">
                  <c:v>19.722833350272232</c:v>
                </c:pt>
                <c:pt idx="14">
                  <c:v>34.848578541596538</c:v>
                </c:pt>
                <c:pt idx="15">
                  <c:v>46.733444761673901</c:v>
                </c:pt>
                <c:pt idx="16">
                  <c:v>23.605723513611611</c:v>
                </c:pt>
                <c:pt idx="17">
                  <c:v>25.574164225045369</c:v>
                </c:pt>
                <c:pt idx="18">
                  <c:v>22.31521067150635</c:v>
                </c:pt>
                <c:pt idx="19">
                  <c:v>28.351735811252261</c:v>
                </c:pt>
                <c:pt idx="20">
                  <c:v>22.929744551724138</c:v>
                </c:pt>
                <c:pt idx="21">
                  <c:v>20.84486312885662</c:v>
                </c:pt>
                <c:pt idx="22">
                  <c:v>28.317495375680579</c:v>
                </c:pt>
                <c:pt idx="23">
                  <c:v>20.120353292196004</c:v>
                </c:pt>
                <c:pt idx="24">
                  <c:v>27.793579528130667</c:v>
                </c:pt>
                <c:pt idx="25">
                  <c:v>25.532263956442829</c:v>
                </c:pt>
                <c:pt idx="26">
                  <c:v>56.476006584206011</c:v>
                </c:pt>
                <c:pt idx="27">
                  <c:v>59.931060939545411</c:v>
                </c:pt>
                <c:pt idx="28">
                  <c:v>29.143003571687835</c:v>
                </c:pt>
                <c:pt idx="29">
                  <c:v>33.259888000000004</c:v>
                </c:pt>
                <c:pt idx="30">
                  <c:v>26.590037996370235</c:v>
                </c:pt>
                <c:pt idx="31">
                  <c:v>34.752570787658804</c:v>
                </c:pt>
                <c:pt idx="32">
                  <c:v>27.685693735027222</c:v>
                </c:pt>
                <c:pt idx="33">
                  <c:v>25.787406301270419</c:v>
                </c:pt>
                <c:pt idx="34">
                  <c:v>35.789516965517237</c:v>
                </c:pt>
                <c:pt idx="35">
                  <c:v>24.431395644283118</c:v>
                </c:pt>
                <c:pt idx="36">
                  <c:v>38.442556312159709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09-4FC4-91F0-99C2EE360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290608"/>
        <c:axId val="1535293968"/>
      </c:lineChart>
      <c:catAx>
        <c:axId val="61630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sq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vert="horz" wrap="square" anchor="ctr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317024"/>
        <c:crosses val="autoZero"/>
        <c:auto val="0"/>
        <c:lblAlgn val="ctr"/>
        <c:lblOffset val="0"/>
        <c:noMultiLvlLbl val="0"/>
      </c:catAx>
      <c:valAx>
        <c:axId val="61631702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Embedded copper, Mt Cu</a:t>
                </a:r>
              </a:p>
            </c:rich>
          </c:tx>
          <c:layout>
            <c:manualLayout>
              <c:xMode val="edge"/>
              <c:yMode val="edge"/>
              <c:x val="1.8603617155530232E-4"/>
              <c:y val="0.222863756807459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308288"/>
        <c:crosses val="autoZero"/>
        <c:crossBetween val="between"/>
      </c:valAx>
      <c:valAx>
        <c:axId val="153529396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Total projected CO</a:t>
                </a:r>
                <a:r>
                  <a:rPr lang="en-US" b="0" baseline="-25000"/>
                  <a:t>2</a:t>
                </a:r>
                <a:r>
                  <a:rPr lang="en-US" b="0"/>
                  <a:t> emissions, Mt CO</a:t>
                </a:r>
                <a:r>
                  <a:rPr lang="en-US" b="0" baseline="-25000"/>
                  <a:t>2</a:t>
                </a:r>
              </a:p>
            </c:rich>
          </c:tx>
          <c:layout>
            <c:manualLayout>
              <c:xMode val="edge"/>
              <c:yMode val="edge"/>
              <c:x val="0.97269682730923357"/>
              <c:y val="0.1667595455990174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535290608"/>
        <c:crosses val="max"/>
        <c:crossBetween val="between"/>
      </c:valAx>
      <c:catAx>
        <c:axId val="1535290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535293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r"/>
      <c:legendEntry>
        <c:idx val="1"/>
        <c:delete val="1"/>
      </c:legendEntry>
      <c:legendEntry>
        <c:idx val="3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15284169965040834"/>
          <c:y val="2.0279204150336905E-2"/>
          <c:w val="0.2084126826665888"/>
          <c:h val="0.41383739156652766"/>
        </c:manualLayout>
      </c:layout>
      <c:overlay val="1"/>
      <c:spPr>
        <a:solidFill>
          <a:schemeClr val="bg1"/>
        </a:solidFill>
        <a:ln w="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 rot="5400000" vert="horz" anchor="b" anchorCtr="0"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79859961744061E-2"/>
          <c:y val="4.1004719451784702E-2"/>
          <c:w val="0.91499927649820123"/>
          <c:h val="0.7278971654620152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'SI Table 5'!$D$2</c:f>
              <c:strCache>
                <c:ptCount val="1"/>
                <c:pt idx="0">
                  <c:v>Reductant preheat production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'SI Table 5'!$A$3:$B$20</c15:sqref>
                  </c15:fullRef>
                </c:ext>
              </c:extLst>
              <c:f>('SI Table 5'!$A$3:$B$12,'SI Table 5'!$A$18:$B$20)</c:f>
              <c:multiLvlStrCache>
                <c:ptCount val="13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RE grid</c:v>
                  </c:pt>
                  <c:pt idx="12">
                    <c:v>H2: AZ 2022 Grid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5'!$D$3:$D$20</c15:sqref>
                  </c15:fullRef>
                </c:ext>
              </c:extLst>
              <c:f>('SI Table 5'!$D$3:$D$12,'SI Table 5'!$D$18:$D$20)</c:f>
              <c:numCache>
                <c:formatCode>0.0</c:formatCode>
                <c:ptCount val="13"/>
                <c:pt idx="0">
                  <c:v>1.0960000000000001</c:v>
                </c:pt>
                <c:pt idx="1">
                  <c:v>1.6440000000000001</c:v>
                </c:pt>
                <c:pt idx="2">
                  <c:v>0.31900000000000001</c:v>
                </c:pt>
                <c:pt idx="3">
                  <c:v>1.2121999999999999</c:v>
                </c:pt>
                <c:pt idx="4">
                  <c:v>9.48</c:v>
                </c:pt>
                <c:pt idx="5">
                  <c:v>28.44</c:v>
                </c:pt>
                <c:pt idx="6">
                  <c:v>5.9250000000000007</c:v>
                </c:pt>
                <c:pt idx="7">
                  <c:v>16.59</c:v>
                </c:pt>
                <c:pt idx="8">
                  <c:v>3.5550000000000002</c:v>
                </c:pt>
                <c:pt idx="9">
                  <c:v>7.11</c:v>
                </c:pt>
                <c:pt idx="10">
                  <c:v>0.59250000000000003</c:v>
                </c:pt>
                <c:pt idx="11">
                  <c:v>1.0665</c:v>
                </c:pt>
                <c:pt idx="12">
                  <c:v>39.613364999999995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C-46DE-91A5-A9DF2381DCA5}"/>
            </c:ext>
          </c:extLst>
        </c:ser>
        <c:ser>
          <c:idx val="3"/>
          <c:order val="1"/>
          <c:tx>
            <c:strRef>
              <c:f>'SI Table 5'!$F$2</c:f>
              <c:strCache>
                <c:ptCount val="1"/>
                <c:pt idx="0">
                  <c:v>Reductant production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'SI Table 5'!$A$3:$B$20</c15:sqref>
                  </c15:fullRef>
                </c:ext>
              </c:extLst>
              <c:f>('SI Table 5'!$A$3:$B$12,'SI Table 5'!$A$18:$B$20)</c:f>
              <c:multiLvlStrCache>
                <c:ptCount val="13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RE grid</c:v>
                  </c:pt>
                  <c:pt idx="12">
                    <c:v>H2: AZ 2022 Grid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5'!$F$3:$F$20</c15:sqref>
                  </c15:fullRef>
                </c:ext>
              </c:extLst>
              <c:f>('SI Table 5'!$F$3:$F$12,'SI Table 5'!$F$18:$F$20)</c:f>
              <c:numCache>
                <c:formatCode>0.0</c:formatCode>
                <c:ptCount val="13"/>
                <c:pt idx="0">
                  <c:v>12.600000000000001</c:v>
                </c:pt>
                <c:pt idx="1">
                  <c:v>18.899999999999999</c:v>
                </c:pt>
                <c:pt idx="2">
                  <c:v>4.7240000000000002</c:v>
                </c:pt>
                <c:pt idx="3">
                  <c:v>17.9512</c:v>
                </c:pt>
                <c:pt idx="4">
                  <c:v>63</c:v>
                </c:pt>
                <c:pt idx="5">
                  <c:v>189</c:v>
                </c:pt>
                <c:pt idx="6">
                  <c:v>39.375</c:v>
                </c:pt>
                <c:pt idx="7">
                  <c:v>110.25</c:v>
                </c:pt>
                <c:pt idx="8">
                  <c:v>23.625</c:v>
                </c:pt>
                <c:pt idx="9">
                  <c:v>47.25</c:v>
                </c:pt>
                <c:pt idx="10">
                  <c:v>3.9375</c:v>
                </c:pt>
                <c:pt idx="11">
                  <c:v>7.0874999999999995</c:v>
                </c:pt>
                <c:pt idx="12">
                  <c:v>263.25337499999995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C-46DE-91A5-A9DF2381DCA5}"/>
            </c:ext>
          </c:extLst>
        </c:ser>
        <c:ser>
          <c:idx val="0"/>
          <c:order val="2"/>
          <c:tx>
            <c:strRef>
              <c:f>'SI Table 5'!$C$2</c:f>
              <c:strCache>
                <c:ptCount val="1"/>
                <c:pt idx="0">
                  <c:v>Reductant preheat combustion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'SI Table 5'!$A$3:$B$20</c15:sqref>
                  </c15:fullRef>
                </c:ext>
              </c:extLst>
              <c:f>('SI Table 5'!$A$3:$B$12,'SI Table 5'!$A$18:$B$20)</c:f>
              <c:multiLvlStrCache>
                <c:ptCount val="13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RE grid</c:v>
                  </c:pt>
                  <c:pt idx="12">
                    <c:v>H2: AZ 2022 Grid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5'!$C$3:$C$19</c15:sqref>
                  </c15:fullRef>
                </c:ext>
              </c:extLst>
              <c:f>('SI Table 5'!$C$3:$C$12,'SI Table 5'!$C$18:$C$19)</c:f>
              <c:numCache>
                <c:formatCode>0.0</c:formatCode>
                <c:ptCount val="12"/>
                <c:pt idx="0">
                  <c:v>7.5350000000000001</c:v>
                </c:pt>
                <c:pt idx="1">
                  <c:v>7.5350000000000001</c:v>
                </c:pt>
                <c:pt idx="2">
                  <c:v>11.696666666666665</c:v>
                </c:pt>
                <c:pt idx="3">
                  <c:v>11.696666666666665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5C-46DE-91A5-A9DF2381DCA5}"/>
            </c:ext>
          </c:extLst>
        </c:ser>
        <c:ser>
          <c:idx val="2"/>
          <c:order val="3"/>
          <c:tx>
            <c:strRef>
              <c:f>'SI Table 5'!$E$2</c:f>
              <c:strCache>
                <c:ptCount val="1"/>
                <c:pt idx="0">
                  <c:v>Reductant in reaction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'SI Table 5'!$A$3:$B$20</c15:sqref>
                  </c15:fullRef>
                </c:ext>
              </c:extLst>
              <c:f>('SI Table 5'!$A$3:$B$12,'SI Table 5'!$A$18:$B$20)</c:f>
              <c:multiLvlStrCache>
                <c:ptCount val="13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RE grid</c:v>
                  </c:pt>
                  <c:pt idx="12">
                    <c:v>H2: AZ 2022 Grid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5'!$E$3:$E$19</c15:sqref>
                  </c15:fullRef>
                </c:ext>
              </c:extLst>
              <c:f>('SI Table 5'!$E$3:$E$12,'SI Table 5'!$E$18:$E$19)</c:f>
              <c:numCache>
                <c:formatCode>0.0</c:formatCode>
                <c:ptCount val="12"/>
                <c:pt idx="0">
                  <c:v>86.625</c:v>
                </c:pt>
                <c:pt idx="1">
                  <c:v>86.625</c:v>
                </c:pt>
                <c:pt idx="2">
                  <c:v>174.78800000000001</c:v>
                </c:pt>
                <c:pt idx="3">
                  <c:v>174.78800000000001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5C-46DE-91A5-A9DF2381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616308288"/>
        <c:axId val="616317024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'SI Table 5'!$H$2</c15:sqref>
                        </c15:formulaRef>
                      </c:ext>
                    </c:extLst>
                    <c:strCache>
                      <c:ptCount val="1"/>
                      <c:pt idx="0">
                        <c:v>Losses Production</c:v>
                      </c:pt>
                    </c:strCache>
                  </c:strRef>
                </c:tx>
                <c:spPr>
                  <a:pattFill prst="wdUpDiag">
                    <a:fgClr>
                      <a:schemeClr val="tx1"/>
                    </a:fgClr>
                    <a:bgClr>
                      <a:schemeClr val="bg2"/>
                    </a:bgClr>
                  </a:pattFill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'SI Table 5'!$A$3:$B$20</c15:sqref>
                        </c15:fullRef>
                        <c15:formulaRef>
                          <c15:sqref>('SI Table 5'!$A$3:$B$12,'SI Table 5'!$A$18:$B$20)</c15:sqref>
                        </c15:formulaRef>
                      </c:ext>
                    </c:extLst>
                    <c:multiLvlStrCache>
                      <c:ptCount val="13"/>
                      <c:lvl>
                        <c:pt idx="0">
                          <c:v>min</c:v>
                        </c:pt>
                        <c:pt idx="1">
                          <c:v>max</c:v>
                        </c:pt>
                        <c:pt idx="2">
                          <c:v>min</c:v>
                        </c:pt>
                        <c:pt idx="3">
                          <c:v>max</c:v>
                        </c:pt>
                        <c:pt idx="4">
                          <c:v>min</c:v>
                        </c:pt>
                        <c:pt idx="5">
                          <c:v>max</c:v>
                        </c:pt>
                        <c:pt idx="6">
                          <c:v>min</c:v>
                        </c:pt>
                        <c:pt idx="7">
                          <c:v>max</c:v>
                        </c:pt>
                        <c:pt idx="8">
                          <c:v>min</c:v>
                        </c:pt>
                        <c:pt idx="9">
                          <c:v>max</c:v>
                        </c:pt>
                        <c:pt idx="10">
                          <c:v>min</c:v>
                        </c:pt>
                        <c:pt idx="11">
                          <c:v>max</c:v>
                        </c:pt>
                      </c:lvl>
                      <c:lvl>
                        <c:pt idx="0">
                          <c:v>NG</c:v>
                        </c:pt>
                        <c:pt idx="2">
                          <c:v>Coke</c:v>
                        </c:pt>
                        <c:pt idx="4">
                          <c:v>H2: SMR</c:v>
                        </c:pt>
                        <c:pt idx="6">
                          <c:v>H2: SMR + 55%CCS</c:v>
                        </c:pt>
                        <c:pt idx="8">
                          <c:v>H2: SMR + 93%CCS</c:v>
                        </c:pt>
                        <c:pt idx="10">
                          <c:v>H2: 100% RE grid</c:v>
                        </c:pt>
                        <c:pt idx="12">
                          <c:v>H2: AZ 2022 Grid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'SI Table 5'!$H$3:$H$20</c15:sqref>
                        </c15:fullRef>
                        <c15:formulaRef>
                          <c15:sqref>('SI Table 5'!$H$3:$H$12,'SI Table 5'!$H$18:$H$20)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8.4</c:v>
                      </c:pt>
                      <c:pt idx="1">
                        <c:v>12.6</c:v>
                      </c:pt>
                      <c:pt idx="2">
                        <c:v>3.6</c:v>
                      </c:pt>
                      <c:pt idx="3">
                        <c:v>13.68</c:v>
                      </c:pt>
                      <c:pt idx="4">
                        <c:v>32</c:v>
                      </c:pt>
                      <c:pt idx="5">
                        <c:v>96</c:v>
                      </c:pt>
                      <c:pt idx="6">
                        <c:v>20</c:v>
                      </c:pt>
                      <c:pt idx="7">
                        <c:v>56</c:v>
                      </c:pt>
                      <c:pt idx="8">
                        <c:v>12</c:v>
                      </c:pt>
                      <c:pt idx="9">
                        <c:v>24</c:v>
                      </c:pt>
                      <c:pt idx="10">
                        <c:v>2</c:v>
                      </c:pt>
                      <c:pt idx="11">
                        <c:v>3.5999999999999996</c:v>
                      </c:pt>
                      <c:pt idx="12">
                        <c:v>133.71599999999998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45C-46DE-91A5-A9DF2381DCA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 Table 5'!$G$2</c15:sqref>
                        </c15:formulaRef>
                      </c:ext>
                    </c:extLst>
                    <c:strCache>
                      <c:ptCount val="1"/>
                      <c:pt idx="0">
                        <c:v>Losses Combustion</c:v>
                      </c:pt>
                    </c:strCache>
                  </c:strRef>
                </c:tx>
                <c:spPr>
                  <a:pattFill prst="pct10">
                    <a:fgClr>
                      <a:prstClr val="black"/>
                    </a:fgClr>
                    <a:bgClr>
                      <a:schemeClr val="bg2"/>
                    </a:bgClr>
                  </a:pattFill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'SI Table 5'!$A$3:$B$20</c15:sqref>
                        </c15:fullRef>
                        <c15:formulaRef>
                          <c15:sqref>('SI Table 5'!$A$3:$B$12,'SI Table 5'!$A$18:$B$20)</c15:sqref>
                        </c15:formulaRef>
                      </c:ext>
                    </c:extLst>
                    <c:multiLvlStrCache>
                      <c:ptCount val="13"/>
                      <c:lvl>
                        <c:pt idx="0">
                          <c:v>min</c:v>
                        </c:pt>
                        <c:pt idx="1">
                          <c:v>max</c:v>
                        </c:pt>
                        <c:pt idx="2">
                          <c:v>min</c:v>
                        </c:pt>
                        <c:pt idx="3">
                          <c:v>max</c:v>
                        </c:pt>
                        <c:pt idx="4">
                          <c:v>min</c:v>
                        </c:pt>
                        <c:pt idx="5">
                          <c:v>max</c:v>
                        </c:pt>
                        <c:pt idx="6">
                          <c:v>min</c:v>
                        </c:pt>
                        <c:pt idx="7">
                          <c:v>max</c:v>
                        </c:pt>
                        <c:pt idx="8">
                          <c:v>min</c:v>
                        </c:pt>
                        <c:pt idx="9">
                          <c:v>max</c:v>
                        </c:pt>
                        <c:pt idx="10">
                          <c:v>min</c:v>
                        </c:pt>
                        <c:pt idx="11">
                          <c:v>max</c:v>
                        </c:pt>
                      </c:lvl>
                      <c:lvl>
                        <c:pt idx="0">
                          <c:v>NG</c:v>
                        </c:pt>
                        <c:pt idx="2">
                          <c:v>Coke</c:v>
                        </c:pt>
                        <c:pt idx="4">
                          <c:v>H2: SMR</c:v>
                        </c:pt>
                        <c:pt idx="6">
                          <c:v>H2: SMR + 55%CCS</c:v>
                        </c:pt>
                        <c:pt idx="8">
                          <c:v>H2: SMR + 93%CCS</c:v>
                        </c:pt>
                        <c:pt idx="10">
                          <c:v>H2: 100% RE grid</c:v>
                        </c:pt>
                        <c:pt idx="12">
                          <c:v>H2: AZ 2022 Grid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'SI Table 5'!$G$3:$G$19</c15:sqref>
                        </c15:fullRef>
                        <c15:formulaRef>
                          <c15:sqref>('SI Table 5'!$G$3:$G$12,'SI Table 5'!$G$18:$G$19)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57.75</c:v>
                      </c:pt>
                      <c:pt idx="1">
                        <c:v>57.75</c:v>
                      </c:pt>
                      <c:pt idx="2">
                        <c:v>99</c:v>
                      </c:pt>
                      <c:pt idx="3">
                        <c:v>99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45C-46DE-91A5-A9DF2381DCA5}"/>
                  </c:ext>
                </c:extLst>
              </c15:ser>
            </c15:filteredBarSeries>
          </c:ext>
        </c:extLst>
      </c:barChart>
      <c:catAx>
        <c:axId val="61630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sq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616317024"/>
        <c:crosses val="autoZero"/>
        <c:auto val="0"/>
        <c:lblAlgn val="ctr"/>
        <c:lblOffset val="0"/>
        <c:tickLblSkip val="1"/>
        <c:noMultiLvlLbl val="0"/>
      </c:catAx>
      <c:valAx>
        <c:axId val="6163170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CO</a:t>
                </a:r>
                <a:r>
                  <a:rPr lang="en-US" b="0" baseline="-25000"/>
                  <a:t>2-eq</a:t>
                </a:r>
                <a:r>
                  <a:rPr lang="en-US" b="0"/>
                  <a:t> emissions, kg CO</a:t>
                </a:r>
                <a:r>
                  <a:rPr lang="en-US" b="0" baseline="-25000"/>
                  <a:t>2-eq</a:t>
                </a:r>
                <a:r>
                  <a:rPr lang="en-US" b="0"/>
                  <a:t>/t Cu</a:t>
                </a:r>
                <a:endParaRPr lang="ru-RU" b="0"/>
              </a:p>
            </c:rich>
          </c:tx>
          <c:layout>
            <c:manualLayout>
              <c:xMode val="edge"/>
              <c:yMode val="edge"/>
              <c:x val="1.0683618628001977E-3"/>
              <c:y val="0.133183363128853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6308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0624224979279238"/>
          <c:y val="1.3027177149309019E-2"/>
          <c:w val="0.20616616333315094"/>
          <c:h val="0.37096315801684338"/>
        </c:manualLayout>
      </c:layout>
      <c:overlay val="1"/>
      <c:spPr>
        <a:solidFill>
          <a:schemeClr val="bg1"/>
        </a:solidFill>
        <a:ln w="0"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 rot="5400000" vert="horz" anchor="b" anchorCtr="0"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6276833954148"/>
          <c:y val="0.14056970055193943"/>
          <c:w val="0.76494967162551208"/>
          <c:h val="0.74221947270944655"/>
        </c:manualLayout>
      </c:layout>
      <c:areaChart>
        <c:grouping val="stacked"/>
        <c:varyColors val="0"/>
        <c:ser>
          <c:idx val="24"/>
          <c:order val="0"/>
          <c:tx>
            <c:strRef>
              <c:f>'SI Table 6'!$G$10</c:f>
              <c:strCache>
                <c:ptCount val="1"/>
                <c:pt idx="0">
                  <c:v>Base 1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'SI Table 6'!$H$3:$T$3</c15:sqref>
                  </c15:fullRef>
                </c:ext>
              </c:extLst>
              <c:f>'SI Table 6'!$H$3:$N$3</c:f>
              <c:numCache>
                <c:formatCode>0.0</c:formatCode>
                <c:ptCount val="7"/>
                <c:pt idx="0">
                  <c:v>0.88</c:v>
                </c:pt>
                <c:pt idx="1">
                  <c:v>1.17</c:v>
                </c:pt>
                <c:pt idx="2">
                  <c:v>1.47</c:v>
                </c:pt>
                <c:pt idx="3">
                  <c:v>1.76</c:v>
                </c:pt>
                <c:pt idx="4">
                  <c:v>2.0499999999999998</c:v>
                </c:pt>
                <c:pt idx="5">
                  <c:v>2.34</c:v>
                </c:pt>
                <c:pt idx="6">
                  <c:v>2.64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6'!$H$10:$T$10</c15:sqref>
                  </c15:fullRef>
                </c:ext>
              </c:extLst>
              <c:f>'SI Table 6'!$H$10:$N$10</c:f>
              <c:numCache>
                <c:formatCode>General</c:formatCode>
                <c:ptCount val="7"/>
                <c:pt idx="0">
                  <c:v>0.27010786124709768</c:v>
                </c:pt>
                <c:pt idx="1">
                  <c:v>0.36014381499613024</c:v>
                </c:pt>
                <c:pt idx="2">
                  <c:v>0.45017976874516286</c:v>
                </c:pt>
                <c:pt idx="3">
                  <c:v>0.54021572249419536</c:v>
                </c:pt>
                <c:pt idx="4">
                  <c:v>0.63025167624322798</c:v>
                </c:pt>
                <c:pt idx="5">
                  <c:v>0.72028762999226048</c:v>
                </c:pt>
                <c:pt idx="6">
                  <c:v>0.8103235837412931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9-476E-AD3C-76EB19E80A97}"/>
            </c:ext>
          </c:extLst>
        </c:ser>
        <c:ser>
          <c:idx val="25"/>
          <c:order val="1"/>
          <c:tx>
            <c:strRef>
              <c:f>'SI Table 6'!$G$11</c:f>
              <c:strCache>
                <c:ptCount val="1"/>
                <c:pt idx="0">
                  <c:v>Delta1</c:v>
                </c:pt>
              </c:strCache>
            </c:strRef>
          </c:tx>
          <c:spPr>
            <a:solidFill>
              <a:srgbClr val="00CC66">
                <a:alpha val="84706"/>
              </a:srgb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'SI Table 6'!$H$3:$T$3</c15:sqref>
                  </c15:fullRef>
                </c:ext>
              </c:extLst>
              <c:f>'SI Table 6'!$H$3:$N$3</c:f>
              <c:numCache>
                <c:formatCode>0.0</c:formatCode>
                <c:ptCount val="7"/>
                <c:pt idx="0">
                  <c:v>0.88</c:v>
                </c:pt>
                <c:pt idx="1">
                  <c:v>1.17</c:v>
                </c:pt>
                <c:pt idx="2">
                  <c:v>1.47</c:v>
                </c:pt>
                <c:pt idx="3">
                  <c:v>1.76</c:v>
                </c:pt>
                <c:pt idx="4">
                  <c:v>2.0499999999999998</c:v>
                </c:pt>
                <c:pt idx="5">
                  <c:v>2.34</c:v>
                </c:pt>
                <c:pt idx="6">
                  <c:v>2.64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6'!$H$11:$T$11</c15:sqref>
                  </c15:fullRef>
                </c:ext>
              </c:extLst>
              <c:f>'SI Table 6'!$H$11:$N$11</c:f>
              <c:numCache>
                <c:formatCode>General</c:formatCode>
                <c:ptCount val="7"/>
                <c:pt idx="0">
                  <c:v>0.38361408882082687</c:v>
                </c:pt>
                <c:pt idx="1">
                  <c:v>0.38361408882082682</c:v>
                </c:pt>
                <c:pt idx="2">
                  <c:v>0.38361408882082693</c:v>
                </c:pt>
                <c:pt idx="3">
                  <c:v>0.38361408882082693</c:v>
                </c:pt>
                <c:pt idx="4">
                  <c:v>0.38361408882082704</c:v>
                </c:pt>
                <c:pt idx="5">
                  <c:v>0.38361408882082704</c:v>
                </c:pt>
                <c:pt idx="6">
                  <c:v>0.38361408882082693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9-476E-AD3C-76EB19E80A97}"/>
            </c:ext>
          </c:extLst>
        </c:ser>
        <c:ser>
          <c:idx val="26"/>
          <c:order val="2"/>
          <c:tx>
            <c:strRef>
              <c:f>'SI Table 6'!$G$12</c:f>
              <c:strCache>
                <c:ptCount val="1"/>
                <c:pt idx="0">
                  <c:v>Delta2</c:v>
                </c:pt>
              </c:strCache>
            </c:strRef>
          </c:tx>
          <c:spPr>
            <a:solidFill>
              <a:srgbClr val="00FA00">
                <a:alpha val="84706"/>
              </a:srgb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'SI Table 6'!$H$3:$T$3</c15:sqref>
                  </c15:fullRef>
                </c:ext>
              </c:extLst>
              <c:f>'SI Table 6'!$H$3:$N$3</c:f>
              <c:numCache>
                <c:formatCode>0.0</c:formatCode>
                <c:ptCount val="7"/>
                <c:pt idx="0">
                  <c:v>0.88</c:v>
                </c:pt>
                <c:pt idx="1">
                  <c:v>1.17</c:v>
                </c:pt>
                <c:pt idx="2">
                  <c:v>1.47</c:v>
                </c:pt>
                <c:pt idx="3">
                  <c:v>1.76</c:v>
                </c:pt>
                <c:pt idx="4">
                  <c:v>2.0499999999999998</c:v>
                </c:pt>
                <c:pt idx="5">
                  <c:v>2.34</c:v>
                </c:pt>
                <c:pt idx="6">
                  <c:v>2.64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6'!$H$12:$T$12</c15:sqref>
                  </c15:fullRef>
                </c:ext>
              </c:extLst>
              <c:f>'SI Table 6'!$H$12:$N$12</c:f>
              <c:numCache>
                <c:formatCode>General</c:formatCode>
                <c:ptCount val="7"/>
                <c:pt idx="0">
                  <c:v>0.25574272588055136</c:v>
                </c:pt>
                <c:pt idx="1">
                  <c:v>0.25574272588055136</c:v>
                </c:pt>
                <c:pt idx="2">
                  <c:v>0.25574272588055136</c:v>
                </c:pt>
                <c:pt idx="3">
                  <c:v>0.25574272588055136</c:v>
                </c:pt>
                <c:pt idx="4">
                  <c:v>0.25574272588055114</c:v>
                </c:pt>
                <c:pt idx="5">
                  <c:v>0.25574272588055114</c:v>
                </c:pt>
                <c:pt idx="6">
                  <c:v>0.25574272588055136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9-476E-AD3C-76EB19E80A97}"/>
            </c:ext>
          </c:extLst>
        </c:ser>
        <c:ser>
          <c:idx val="27"/>
          <c:order val="3"/>
          <c:tx>
            <c:strRef>
              <c:f>'SI Table 6'!$G$13</c:f>
              <c:strCache>
                <c:ptCount val="1"/>
                <c:pt idx="0">
                  <c:v>Delta3</c:v>
                </c:pt>
              </c:strCache>
            </c:strRef>
          </c:tx>
          <c:spPr>
            <a:solidFill>
              <a:srgbClr val="88FF67">
                <a:alpha val="92941"/>
              </a:srgb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'SI Table 6'!$H$3:$T$3</c15:sqref>
                  </c15:fullRef>
                </c:ext>
              </c:extLst>
              <c:f>'SI Table 6'!$H$3:$N$3</c:f>
              <c:numCache>
                <c:formatCode>0.0</c:formatCode>
                <c:ptCount val="7"/>
                <c:pt idx="0">
                  <c:v>0.88</c:v>
                </c:pt>
                <c:pt idx="1">
                  <c:v>1.17</c:v>
                </c:pt>
                <c:pt idx="2">
                  <c:v>1.47</c:v>
                </c:pt>
                <c:pt idx="3">
                  <c:v>1.76</c:v>
                </c:pt>
                <c:pt idx="4">
                  <c:v>2.0499999999999998</c:v>
                </c:pt>
                <c:pt idx="5">
                  <c:v>2.34</c:v>
                </c:pt>
                <c:pt idx="6">
                  <c:v>2.64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6'!$H$13:$T$13</c15:sqref>
                  </c15:fullRef>
                </c:ext>
              </c:extLst>
              <c:f>'SI Table 6'!$H$13:$N$13</c:f>
              <c:numCache>
                <c:formatCode>General</c:formatCode>
                <c:ptCount val="7"/>
                <c:pt idx="0">
                  <c:v>0.95903522205206726</c:v>
                </c:pt>
                <c:pt idx="1">
                  <c:v>0.95903522205206748</c:v>
                </c:pt>
                <c:pt idx="2">
                  <c:v>0.95903522205206748</c:v>
                </c:pt>
                <c:pt idx="3">
                  <c:v>0.95903522205206748</c:v>
                </c:pt>
                <c:pt idx="4">
                  <c:v>0.95903522205206748</c:v>
                </c:pt>
                <c:pt idx="5">
                  <c:v>0.95903522205206748</c:v>
                </c:pt>
                <c:pt idx="6">
                  <c:v>0.95903522205206726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9-476E-AD3C-76EB19E80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618912"/>
        <c:axId val="696615584"/>
        <c:extLst/>
      </c:areaChart>
      <c:areaChart>
        <c:grouping val="stacked"/>
        <c:varyColors val="0"/>
        <c:ser>
          <c:idx val="5"/>
          <c:order val="7"/>
          <c:tx>
            <c:strRef>
              <c:f>'SI Table 6'!$G$9</c:f>
              <c:strCache>
                <c:ptCount val="1"/>
                <c:pt idx="0">
                  <c:v>$250/t CO2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'SI Table 6'!$H$3:$T$3</c15:sqref>
                  </c15:fullRef>
                </c:ext>
              </c:extLst>
              <c:f>'SI Table 6'!$H$3:$N$3</c:f>
              <c:numCache>
                <c:formatCode>0.0</c:formatCode>
                <c:ptCount val="7"/>
                <c:pt idx="0">
                  <c:v>0.88</c:v>
                </c:pt>
                <c:pt idx="1">
                  <c:v>1.17</c:v>
                </c:pt>
                <c:pt idx="2">
                  <c:v>1.47</c:v>
                </c:pt>
                <c:pt idx="3">
                  <c:v>1.76</c:v>
                </c:pt>
                <c:pt idx="4">
                  <c:v>2.0499999999999998</c:v>
                </c:pt>
                <c:pt idx="5">
                  <c:v>2.34</c:v>
                </c:pt>
                <c:pt idx="6">
                  <c:v>2.64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6'!$H$2:$T$2</c15:sqref>
                  </c15:fullRef>
                </c:ext>
              </c:extLst>
              <c:f>'SI Table 6'!$H$2:$N$2</c:f>
              <c:numCache>
                <c:formatCode>0</c:formatCode>
                <c:ptCount val="7"/>
                <c:pt idx="0" formatCode="General">
                  <c:v>0</c:v>
                </c:pt>
                <c:pt idx="1">
                  <c:v>15.001500150015003</c:v>
                </c:pt>
                <c:pt idx="2">
                  <c:v>30.003000300030006</c:v>
                </c:pt>
                <c:pt idx="3">
                  <c:v>45.004500450045008</c:v>
                </c:pt>
                <c:pt idx="4">
                  <c:v>60.006000600060013</c:v>
                </c:pt>
                <c:pt idx="5">
                  <c:v>75.00750075007501</c:v>
                </c:pt>
                <c:pt idx="6">
                  <c:v>90.009000900090015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9-476E-AD3C-76EB19E80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84591"/>
        <c:axId val="495783759"/>
      </c:areaChart>
      <c:lineChart>
        <c:grouping val="standard"/>
        <c:varyColors val="0"/>
        <c:ser>
          <c:idx val="0"/>
          <c:order val="4"/>
          <c:tx>
            <c:strRef>
              <c:f>'SI Table 6'!$G$6</c:f>
              <c:strCache>
                <c:ptCount val="1"/>
                <c:pt idx="0">
                  <c:v>No carbon tax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1"/>
            <c:bubble3D val="0"/>
            <c:spPr>
              <a:ln w="12700" cap="rnd">
                <a:noFill/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809-476E-AD3C-76EB19E80A97}"/>
              </c:ext>
            </c:extLst>
          </c:dPt>
          <c:dPt>
            <c:idx val="2"/>
            <c:bubble3D val="0"/>
            <c:spPr>
              <a:ln w="12700" cap="rnd">
                <a:noFill/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809-476E-AD3C-76EB19E80A97}"/>
              </c:ext>
            </c:extLst>
          </c:dPt>
          <c:dLbls>
            <c:dLbl>
              <c:idx val="2"/>
              <c:layout>
                <c:manualLayout>
                  <c:x val="-0.21294717920592665"/>
                  <c:y val="6.497319834893032E-3"/>
                </c:manualLayout>
              </c:layout>
              <c:tx>
                <c:rich>
                  <a:bodyPr rot="-300000"/>
                  <a:lstStyle/>
                  <a:p>
                    <a:pPr algn="ctr" rtl="0">
                      <a:defRPr/>
                    </a:pPr>
                    <a:r>
                      <a:rPr lang="en-US"/>
                      <a:t>No CO</a:t>
                    </a:r>
                    <a:r>
                      <a:rPr lang="en-US" baseline="-25000"/>
                      <a:t>2</a:t>
                    </a:r>
                    <a:r>
                      <a:rPr lang="en-US"/>
                      <a:t> tax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23503537333116"/>
                      <c:h val="6.25430055846813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8809-476E-AD3C-76EB19E80A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3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'SI Table 6'!$H$4:$T$4</c15:sqref>
                  </c15:fullRef>
                </c:ext>
              </c:extLst>
              <c:f>'SI Table 6'!$H$4:$N$4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6'!$H$6:$T$6</c15:sqref>
                  </c15:fullRef>
                </c:ext>
              </c:extLst>
              <c:f>'SI Table 6'!$H$6:$N$6</c:f>
              <c:numCache>
                <c:formatCode>General</c:formatCode>
                <c:ptCount val="7"/>
                <c:pt idx="0">
                  <c:v>0.27010786124709768</c:v>
                </c:pt>
                <c:pt idx="1">
                  <c:v>0.36014381499613024</c:v>
                </c:pt>
                <c:pt idx="2">
                  <c:v>0.45017976874516286</c:v>
                </c:pt>
                <c:pt idx="3">
                  <c:v>0.54021572249419536</c:v>
                </c:pt>
                <c:pt idx="4">
                  <c:v>0.63025167624322798</c:v>
                </c:pt>
                <c:pt idx="5">
                  <c:v>0.72028762999226048</c:v>
                </c:pt>
                <c:pt idx="6">
                  <c:v>0.8103235837412931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09-476E-AD3C-76EB19E80A97}"/>
            </c:ext>
          </c:extLst>
        </c:ser>
        <c:ser>
          <c:idx val="1"/>
          <c:order val="5"/>
          <c:tx>
            <c:strRef>
              <c:f>'SI Table 6'!$G$7</c:f>
              <c:strCache>
                <c:ptCount val="1"/>
                <c:pt idx="0">
                  <c:v>$60/t CO2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3"/>
            <c:bubble3D val="0"/>
            <c:spPr>
              <a:ln w="12700" cap="rnd">
                <a:noFill/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809-476E-AD3C-76EB19E80A97}"/>
              </c:ext>
            </c:extLst>
          </c:dPt>
          <c:dPt>
            <c:idx val="4"/>
            <c:bubble3D val="0"/>
            <c:spPr>
              <a:ln w="12700" cap="rnd">
                <a:noFill/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809-476E-AD3C-76EB19E80A97}"/>
              </c:ext>
            </c:extLst>
          </c:dPt>
          <c:dLbls>
            <c:dLbl>
              <c:idx val="4"/>
              <c:layout>
                <c:manualLayout>
                  <c:x val="-0.2261029864646765"/>
                  <c:y val="1.2760033818063473E-2"/>
                </c:manualLayout>
              </c:layout>
              <c:tx>
                <c:rich>
                  <a:bodyPr rot="-300000"/>
                  <a:lstStyle/>
                  <a:p>
                    <a:pPr algn="ctr" rtl="0">
                      <a:defRPr/>
                    </a:pPr>
                    <a:r>
                      <a:rPr lang="en-US"/>
                      <a:t>$60/t CO</a:t>
                    </a:r>
                    <a:r>
                      <a:rPr lang="en-US" baseline="-25000"/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008197770354295"/>
                      <c:h val="5.574561688024484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D-8809-476E-AD3C-76EB19E80A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66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'SI Table 6'!$H$4:$T$4</c15:sqref>
                  </c15:fullRef>
                </c:ext>
              </c:extLst>
              <c:f>'SI Table 6'!$H$4:$N$4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6'!$H$7:$T$7</c15:sqref>
                  </c15:fullRef>
                </c:ext>
              </c:extLst>
              <c:f>'SI Table 6'!$H$7:$N$7</c:f>
              <c:numCache>
                <c:formatCode>General</c:formatCode>
                <c:ptCount val="7"/>
                <c:pt idx="0">
                  <c:v>0.65372195006792455</c:v>
                </c:pt>
                <c:pt idx="1">
                  <c:v>0.74375790381695706</c:v>
                </c:pt>
                <c:pt idx="2">
                  <c:v>0.83379385756598978</c:v>
                </c:pt>
                <c:pt idx="3">
                  <c:v>0.92382981131502229</c:v>
                </c:pt>
                <c:pt idx="4">
                  <c:v>1.013865765064055</c:v>
                </c:pt>
                <c:pt idx="5">
                  <c:v>1.1039017188130875</c:v>
                </c:pt>
                <c:pt idx="6">
                  <c:v>1.19393767256212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809-476E-AD3C-76EB19E80A97}"/>
            </c:ext>
          </c:extLst>
        </c:ser>
        <c:ser>
          <c:idx val="4"/>
          <c:order val="6"/>
          <c:tx>
            <c:strRef>
              <c:f>'SI Table 6'!$G$8</c:f>
              <c:strCache>
                <c:ptCount val="1"/>
                <c:pt idx="0">
                  <c:v>$100/t CO2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5"/>
            <c:bubble3D val="0"/>
            <c:spPr>
              <a:ln w="12700" cap="rnd">
                <a:noFill/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8809-476E-AD3C-76EB19E80A97}"/>
              </c:ext>
            </c:extLst>
          </c:dPt>
          <c:dPt>
            <c:idx val="6"/>
            <c:bubble3D val="0"/>
            <c:spPr>
              <a:ln w="12700" cap="rnd">
                <a:noFill/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8809-476E-AD3C-76EB19E80A97}"/>
              </c:ext>
            </c:extLst>
          </c:dPt>
          <c:dLbls>
            <c:dLbl>
              <c:idx val="6"/>
              <c:layout>
                <c:manualLayout>
                  <c:x val="-0.16537383078427717"/>
                  <c:y val="1.2609231531334957E-2"/>
                </c:manualLayout>
              </c:layout>
              <c:tx>
                <c:rich>
                  <a:bodyPr rot="-300000" vertOverflow="clip" horzOverflow="clip"/>
                  <a:lstStyle/>
                  <a:p>
                    <a:pPr algn="ctr" rtl="0">
                      <a:defRPr/>
                    </a:pPr>
                    <a:r>
                      <a:rPr lang="en-US"/>
                      <a:t>$100/t CO</a:t>
                    </a:r>
                    <a:r>
                      <a:rPr lang="en-US" baseline="-25000"/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43553854587788"/>
                      <c:h val="5.376155120863827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2-8809-476E-AD3C-76EB19E80A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660000" vertOverflow="clip" horzOverflow="clip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'SI Table 6'!$H$4:$T$4</c15:sqref>
                  </c15:fullRef>
                </c:ext>
              </c:extLst>
              <c:f>'SI Table 6'!$H$4:$N$4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6'!$H$8:$T$8</c15:sqref>
                  </c15:fullRef>
                </c:ext>
              </c:extLst>
              <c:f>'SI Table 6'!$H$8:$N$8</c:f>
              <c:numCache>
                <c:formatCode>General</c:formatCode>
                <c:ptCount val="7"/>
                <c:pt idx="0">
                  <c:v>0.90946467594847591</c:v>
                </c:pt>
                <c:pt idx="1">
                  <c:v>0.99950062969750841</c:v>
                </c:pt>
                <c:pt idx="2">
                  <c:v>1.0895365834465411</c:v>
                </c:pt>
                <c:pt idx="3">
                  <c:v>1.1795725371955736</c:v>
                </c:pt>
                <c:pt idx="4">
                  <c:v>1.2696084909446061</c:v>
                </c:pt>
                <c:pt idx="5">
                  <c:v>1.3596444446936387</c:v>
                </c:pt>
                <c:pt idx="6">
                  <c:v>1.4496803984426714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809-476E-AD3C-76EB19E80A97}"/>
            </c:ext>
          </c:extLst>
        </c:ser>
        <c:ser>
          <c:idx val="2"/>
          <c:order val="8"/>
          <c:tx>
            <c:strRef>
              <c:f>'SI Table 6'!$G$9</c:f>
              <c:strCache>
                <c:ptCount val="1"/>
                <c:pt idx="0">
                  <c:v>$250/t CO2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4"/>
            <c:bubble3D val="0"/>
            <c:spPr>
              <a:ln w="12700">
                <a:noFill/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11-2887-4A9D-AD6A-FF6DF5B6D19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4-8809-476E-AD3C-76EB19E80A97}"/>
              </c:ext>
            </c:extLst>
          </c:dPt>
          <c:dLbls>
            <c:dLbl>
              <c:idx val="3"/>
              <c:layout>
                <c:manualLayout>
                  <c:x val="-4.1870842052322568E-2"/>
                  <c:y val="-6.6333825236660282E-3"/>
                </c:manualLayout>
              </c:layout>
              <c:tx>
                <c:rich>
                  <a:bodyPr rot="-300000" vertOverflow="clip" horzOverflow="clip"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</a:rPr>
                      <a:t>$250/t CO</a:t>
                    </a:r>
                    <a:r>
                      <a:rPr lang="en-US" sz="1200" b="0" i="0" u="none" strike="noStrike" kern="12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endParaRPr lang="en-US" sz="1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34655245869608"/>
                      <c:h val="3.902640051423513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43-2887-4A9D-AD6A-FF6DF5B6D19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3</c:v>
              </c:pt>
              <c:pt idx="1">
                <c:v>4</c:v>
              </c:pt>
              <c:pt idx="2">
                <c:v>5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'SI Table 6'!$H$9:$T$9</c15:sqref>
                  </c15:fullRef>
                </c:ext>
              </c:extLst>
              <c:f>'SI Table 6'!$H$9:$N$9</c:f>
              <c:numCache>
                <c:formatCode>General</c:formatCode>
                <c:ptCount val="7"/>
                <c:pt idx="0">
                  <c:v>1.8684998980005432</c:v>
                </c:pt>
                <c:pt idx="1">
                  <c:v>1.9585358517495759</c:v>
                </c:pt>
                <c:pt idx="2">
                  <c:v>2.0485718054986086</c:v>
                </c:pt>
                <c:pt idx="3">
                  <c:v>2.1386077592476411</c:v>
                </c:pt>
                <c:pt idx="4">
                  <c:v>2.2286437129966736</c:v>
                </c:pt>
                <c:pt idx="5">
                  <c:v>2.3186796667457061</c:v>
                </c:pt>
                <c:pt idx="6">
                  <c:v>2.4087156204947386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'SI Table 6'!$O$9</c15:sqref>
                  <c15:spPr xmlns:c15="http://schemas.microsoft.com/office/drawing/2012/chart">
                    <a:ln w="12700" cap="rnd">
                      <a:noFill/>
                      <a:prstDash val="solid"/>
                      <a:round/>
                    </a:ln>
                    <a:effectLst/>
                  </c15:spPr>
                  <c15:bubble3D val="0"/>
                </c15:categoryFilterException>
                <c15:categoryFilterException>
                  <c15:sqref>'SI Table 6'!$P$9</c15:sqref>
                  <c15:spPr xmlns:c15="http://schemas.microsoft.com/office/drawing/2012/chart">
                    <a:ln w="12700" cap="rnd">
                      <a:noFill/>
                      <a:prstDash val="solid"/>
                      <a:round/>
                    </a:ln>
                    <a:effectLst/>
                  </c15:spPr>
                  <c15:bubble3D val="0"/>
                  <c15:dLbl>
                    <c:idx val="6"/>
                    <c:tx>
                      <c:rich>
                        <a:bodyPr rot="-660000"/>
                        <a:lstStyle/>
                        <a:p>
                          <a:pPr algn="ctr" rtl="0">
                            <a:defRPr/>
                          </a:pPr>
                          <a:r>
                            <a:rPr lang="en-US"/>
                            <a:t>$250/t CO</a:t>
                          </a:r>
                          <a:r>
                            <a:rPr lang="en-US" baseline="-25000"/>
                            <a:t>2</a:t>
                          </a:r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dLblPos val="l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0.15577782659847283"/>
                            <c:h val="6.2473889992982277E-2"/>
                          </c:manualLayout>
                        </c15:layout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12-F1B0-41A7-93C7-2B242959A23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9-8809-476E-AD3C-76EB19E80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618912"/>
        <c:axId val="696615584"/>
        <c:extLst/>
      </c:lineChart>
      <c:catAx>
        <c:axId val="69661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9661558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9661558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96618912"/>
        <c:crossesAt val="1"/>
        <c:crossBetween val="midCat"/>
        <c:majorUnit val="0.5"/>
      </c:valAx>
      <c:valAx>
        <c:axId val="495783759"/>
        <c:scaling>
          <c:orientation val="minMax"/>
          <c:max val="150"/>
        </c:scaling>
        <c:delete val="0"/>
        <c:axPos val="r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Break-even hydrogen production cost, $/MWh</a:t>
                </a:r>
                <a:endParaRPr lang="ru-RU" b="1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495784591"/>
        <c:crosses val="max"/>
        <c:crossBetween val="midCat"/>
        <c:majorUnit val="15"/>
      </c:valAx>
      <c:catAx>
        <c:axId val="495784591"/>
        <c:scaling>
          <c:orientation val="minMax"/>
        </c:scaling>
        <c:delete val="0"/>
        <c:axPos val="t"/>
        <c:numFmt formatCode="0.0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495783759"/>
        <c:crosses val="max"/>
        <c:auto val="1"/>
        <c:lblAlgn val="ctr"/>
        <c:lblOffset val="0"/>
        <c:noMultiLvlLbl val="0"/>
      </c:catAx>
      <c:spPr>
        <a:noFill/>
        <a:ln w="12700">
          <a:solidFill>
            <a:schemeClr val="tx1">
              <a:alpha val="84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2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1243369842253"/>
          <c:y val="0.1351892759369395"/>
          <c:w val="0.83581869532272512"/>
          <c:h val="0.78956669498725573"/>
        </c:manualLayout>
      </c:layout>
      <c:lineChart>
        <c:grouping val="standard"/>
        <c:varyColors val="0"/>
        <c:ser>
          <c:idx val="0"/>
          <c:order val="0"/>
          <c:tx>
            <c:strRef>
              <c:f>'SI Table 7'!$A$30</c:f>
              <c:strCache>
                <c:ptCount val="1"/>
                <c:pt idx="0">
                  <c:v>No PTC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[2]PTC!$S$3:$Y$3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  <c:extLst/>
            </c:numRef>
          </c:cat>
          <c:val>
            <c:numRef>
              <c:f>'SI Table 7'!$B$30:$H$30</c:f>
              <c:numCache>
                <c:formatCode>General</c:formatCode>
                <c:ptCount val="7"/>
                <c:pt idx="0">
                  <c:v>0.27010786124709768</c:v>
                </c:pt>
                <c:pt idx="1">
                  <c:v>0.36014381499613024</c:v>
                </c:pt>
                <c:pt idx="2">
                  <c:v>0.45017976874516286</c:v>
                </c:pt>
                <c:pt idx="3">
                  <c:v>0.54021572249419536</c:v>
                </c:pt>
                <c:pt idx="4">
                  <c:v>0.63025167624322798</c:v>
                </c:pt>
                <c:pt idx="5">
                  <c:v>0.72028762999226048</c:v>
                </c:pt>
                <c:pt idx="6">
                  <c:v>0.8103235837412931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71B8-4A00-A47B-1799BD417D85}"/>
            </c:ext>
          </c:extLst>
        </c:ser>
        <c:ser>
          <c:idx val="2"/>
          <c:order val="1"/>
          <c:tx>
            <c:strRef>
              <c:f>'SI Table 7'!$A$31</c:f>
              <c:strCache>
                <c:ptCount val="1"/>
                <c:pt idx="0">
                  <c:v>$0.6/kg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1B8-4A00-A47B-1799BD417D85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71B8-4A00-A47B-1799BD417D8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1B8-4A00-A47B-1799BD417D85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1B8-4A00-A47B-1799BD417D85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71B8-4A00-A47B-1799BD417D85}"/>
              </c:ext>
            </c:extLst>
          </c:dPt>
          <c:cat>
            <c:numRef>
              <c:f>[2]PTC!$S$3:$Y$3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  <c:extLst/>
            </c:numRef>
          </c:cat>
          <c:val>
            <c:numRef>
              <c:f>'SI Table 7'!$B$31:$H$31</c:f>
              <c:numCache>
                <c:formatCode>General</c:formatCode>
                <c:ptCount val="7"/>
                <c:pt idx="0">
                  <c:v>0.8701078612470976</c:v>
                </c:pt>
                <c:pt idx="1">
                  <c:v>0.96014381499613022</c:v>
                </c:pt>
                <c:pt idx="2">
                  <c:v>1.0501797687451628</c:v>
                </c:pt>
                <c:pt idx="3">
                  <c:v>1.1402157224941953</c:v>
                </c:pt>
                <c:pt idx="4">
                  <c:v>1.2302516762432281</c:v>
                </c:pt>
                <c:pt idx="5">
                  <c:v>1.3202876299922606</c:v>
                </c:pt>
                <c:pt idx="6">
                  <c:v>1.4103235837412931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F-71B8-4A00-A47B-1799BD417D85}"/>
            </c:ext>
          </c:extLst>
        </c:ser>
        <c:ser>
          <c:idx val="4"/>
          <c:order val="2"/>
          <c:tx>
            <c:strRef>
              <c:f>'SI Table 7'!$A$32</c:f>
              <c:strCache>
                <c:ptCount val="1"/>
                <c:pt idx="0">
                  <c:v>$0.75/kg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1B8-4A00-A47B-1799BD417D85}"/>
              </c:ext>
            </c:extLst>
          </c:dPt>
          <c:cat>
            <c:numRef>
              <c:f>[2]PTC!$S$3:$Y$3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  <c:extLst/>
            </c:numRef>
          </c:cat>
          <c:val>
            <c:numRef>
              <c:f>'SI Table 7'!$B$32:$H$32</c:f>
              <c:numCache>
                <c:formatCode>General</c:formatCode>
                <c:ptCount val="7"/>
                <c:pt idx="0">
                  <c:v>1.0201078612470977</c:v>
                </c:pt>
                <c:pt idx="1">
                  <c:v>1.1101438149961302</c:v>
                </c:pt>
                <c:pt idx="2">
                  <c:v>1.200179768745163</c:v>
                </c:pt>
                <c:pt idx="3">
                  <c:v>1.2902157224941955</c:v>
                </c:pt>
                <c:pt idx="4">
                  <c:v>1.380251676243228</c:v>
                </c:pt>
                <c:pt idx="5">
                  <c:v>1.4702876299922605</c:v>
                </c:pt>
                <c:pt idx="6">
                  <c:v>1.560323583741293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18-71B8-4A00-A47B-1799BD417D85}"/>
            </c:ext>
          </c:extLst>
        </c:ser>
        <c:ser>
          <c:idx val="6"/>
          <c:order val="3"/>
          <c:tx>
            <c:strRef>
              <c:f>'SI Table 7'!$A$33</c:f>
              <c:strCache>
                <c:ptCount val="1"/>
                <c:pt idx="0">
                  <c:v>$1.002/kg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71B8-4A00-A47B-1799BD417D85}"/>
              </c:ext>
            </c:extLst>
          </c:dPt>
          <c:cat>
            <c:numRef>
              <c:f>[2]PTC!$S$3:$Y$3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  <c:extLst/>
            </c:numRef>
          </c:cat>
          <c:val>
            <c:numRef>
              <c:f>'SI Table 7'!$B$33:$H$33</c:f>
              <c:numCache>
                <c:formatCode>General</c:formatCode>
                <c:ptCount val="7"/>
                <c:pt idx="0">
                  <c:v>1.2721078612470977</c:v>
                </c:pt>
                <c:pt idx="1">
                  <c:v>1.3621438149961302</c:v>
                </c:pt>
                <c:pt idx="2">
                  <c:v>1.4521797687451627</c:v>
                </c:pt>
                <c:pt idx="3">
                  <c:v>1.5422157224941953</c:v>
                </c:pt>
                <c:pt idx="4">
                  <c:v>1.632251676243228</c:v>
                </c:pt>
                <c:pt idx="5">
                  <c:v>1.7222876299922605</c:v>
                </c:pt>
                <c:pt idx="6">
                  <c:v>1.8123235837412932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21-71B8-4A00-A47B-1799BD417D85}"/>
            </c:ext>
          </c:extLst>
        </c:ser>
        <c:ser>
          <c:idx val="8"/>
          <c:order val="4"/>
          <c:tx>
            <c:strRef>
              <c:f>'SI Table 7'!$A$34</c:f>
              <c:strCache>
                <c:ptCount val="1"/>
                <c:pt idx="0">
                  <c:v>$3/kg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71B8-4A00-A47B-1799BD417D85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71B8-4A00-A47B-1799BD417D85}"/>
              </c:ext>
            </c:extLst>
          </c:dPt>
          <c:cat>
            <c:numRef>
              <c:f>[2]PTC!$S$3:$Y$3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  <c:extLst/>
            </c:numRef>
          </c:cat>
          <c:val>
            <c:numRef>
              <c:f>'SI Table 7'!$B$34:$H$34</c:f>
              <c:numCache>
                <c:formatCode>General</c:formatCode>
                <c:ptCount val="7"/>
                <c:pt idx="0">
                  <c:v>3.2701078612470975</c:v>
                </c:pt>
                <c:pt idx="1">
                  <c:v>3.36014381499613</c:v>
                </c:pt>
                <c:pt idx="2">
                  <c:v>3.450179768745163</c:v>
                </c:pt>
                <c:pt idx="3">
                  <c:v>3.5402157224941955</c:v>
                </c:pt>
                <c:pt idx="4">
                  <c:v>3.630251676243228</c:v>
                </c:pt>
                <c:pt idx="5">
                  <c:v>3.7202876299922605</c:v>
                </c:pt>
                <c:pt idx="6">
                  <c:v>3.810323583741293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2A-71B8-4A00-A47B-1799BD417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84511"/>
        <c:axId val="1871689503"/>
      </c:lineChart>
      <c:lineChart>
        <c:grouping val="standard"/>
        <c:varyColors val="0"/>
        <c:ser>
          <c:idx val="10"/>
          <c:order val="5"/>
          <c:tx>
            <c:strRef>
              <c:f>'SI Table 7'!$A$30</c:f>
              <c:strCache>
                <c:ptCount val="1"/>
                <c:pt idx="0">
                  <c:v>No PTC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('SI Table 7'!$B$27:$H$27,'SI Table 7'!$M$27:$N$27)</c:f>
              <c:numCache>
                <c:formatCode>0.0</c:formatCode>
                <c:ptCount val="9"/>
                <c:pt idx="0">
                  <c:v>0.88</c:v>
                </c:pt>
                <c:pt idx="1">
                  <c:v>1.17</c:v>
                </c:pt>
                <c:pt idx="2">
                  <c:v>1.47</c:v>
                </c:pt>
                <c:pt idx="3">
                  <c:v>1.76</c:v>
                </c:pt>
                <c:pt idx="4">
                  <c:v>2.0499999999999998</c:v>
                </c:pt>
                <c:pt idx="5">
                  <c:v>2.34</c:v>
                </c:pt>
                <c:pt idx="6">
                  <c:v>2.64</c:v>
                </c:pt>
                <c:pt idx="7">
                  <c:v>4.0999999999999996</c:v>
                </c:pt>
                <c:pt idx="8">
                  <c:v>4.4000000000000004</c:v>
                </c:pt>
              </c:numCache>
              <c:extLst/>
            </c:numRef>
          </c:cat>
          <c:val>
            <c:numRef>
              <c:f>'SI Table 7'!$B$26:$H$26</c:f>
              <c:numCache>
                <c:formatCode>0</c:formatCode>
                <c:ptCount val="7"/>
                <c:pt idx="0" formatCode="General">
                  <c:v>0</c:v>
                </c:pt>
                <c:pt idx="1">
                  <c:v>15.001500150015003</c:v>
                </c:pt>
                <c:pt idx="2">
                  <c:v>30.003000300030006</c:v>
                </c:pt>
                <c:pt idx="3">
                  <c:v>45.004500450045008</c:v>
                </c:pt>
                <c:pt idx="4">
                  <c:v>60.006000600060013</c:v>
                </c:pt>
                <c:pt idx="5">
                  <c:v>75.00750075007501</c:v>
                </c:pt>
                <c:pt idx="6">
                  <c:v>90.009000900090015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2B-71B8-4A00-A47B-1799BD417D85}"/>
            </c:ext>
          </c:extLst>
        </c:ser>
        <c:ser>
          <c:idx val="1"/>
          <c:order val="6"/>
          <c:tx>
            <c:strRef>
              <c:f>'SI Table 3'!#REF!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('SI Table 7'!$B$27:$H$27,'SI Table 7'!$M$27:$N$27)</c:f>
              <c:numCache>
                <c:formatCode>0.0</c:formatCode>
                <c:ptCount val="9"/>
                <c:pt idx="0">
                  <c:v>0.88</c:v>
                </c:pt>
                <c:pt idx="1">
                  <c:v>1.17</c:v>
                </c:pt>
                <c:pt idx="2">
                  <c:v>1.47</c:v>
                </c:pt>
                <c:pt idx="3">
                  <c:v>1.76</c:v>
                </c:pt>
                <c:pt idx="4">
                  <c:v>2.0499999999999998</c:v>
                </c:pt>
                <c:pt idx="5">
                  <c:v>2.34</c:v>
                </c:pt>
                <c:pt idx="6">
                  <c:v>2.64</c:v>
                </c:pt>
                <c:pt idx="7">
                  <c:v>4.0999999999999996</c:v>
                </c:pt>
                <c:pt idx="8">
                  <c:v>4.4000000000000004</c:v>
                </c:pt>
              </c:numCache>
              <c:extLst/>
            </c:numRef>
          </c:cat>
          <c:val>
            <c:numRef>
              <c:f>'SI Table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71B8-4A00-A47B-1799BD417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460495"/>
        <c:axId val="837457167"/>
      </c:lineChart>
      <c:catAx>
        <c:axId val="1871684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689503"/>
        <c:crosses val="autoZero"/>
        <c:auto val="1"/>
        <c:lblAlgn val="ctr"/>
        <c:lblOffset val="0"/>
        <c:noMultiLvlLbl val="0"/>
      </c:catAx>
      <c:valAx>
        <c:axId val="1871689503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Break-even</a:t>
                </a:r>
                <a:r>
                  <a:rPr lang="en-US" b="1" baseline="0"/>
                  <a:t> h</a:t>
                </a:r>
                <a:r>
                  <a:rPr lang="en-US" b="1"/>
                  <a:t>ydrogen price, $/kg H  </a:t>
                </a:r>
                <a:r>
                  <a:rPr lang="en-US" b="1" baseline="-25000"/>
                  <a:t>2</a:t>
                </a:r>
                <a:endParaRPr lang="ru-RU" b="1" baseline="-25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684511"/>
        <c:crosses val="autoZero"/>
        <c:crossBetween val="midCat"/>
      </c:valAx>
      <c:valAx>
        <c:axId val="837457167"/>
        <c:scaling>
          <c:orientation val="minMax"/>
          <c:max val="150"/>
        </c:scaling>
        <c:delete val="1"/>
        <c:axPos val="r"/>
        <c:numFmt formatCode="General" sourceLinked="1"/>
        <c:majorTickMark val="out"/>
        <c:minorTickMark val="none"/>
        <c:tickLblPos val="nextTo"/>
        <c:crossAx val="837460495"/>
        <c:crosses val="max"/>
        <c:crossBetween val="midCat"/>
        <c:majorUnit val="15"/>
      </c:valAx>
      <c:catAx>
        <c:axId val="837460495"/>
        <c:scaling>
          <c:orientation val="minMax"/>
        </c:scaling>
        <c:delete val="0"/>
        <c:axPos val="t"/>
        <c:numFmt formatCode="0.0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457167"/>
        <c:crosses val="max"/>
        <c:auto val="1"/>
        <c:lblAlgn val="ctr"/>
        <c:lblOffset val="0"/>
        <c:noMultiLvlLbl val="0"/>
      </c:cat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2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51243369842253"/>
          <c:y val="0.1351892759369395"/>
          <c:w val="0.83581869532272512"/>
          <c:h val="0.78956669498725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'SI Table 9'!$N$4</c:f>
              <c:strCache>
                <c:ptCount val="1"/>
                <c:pt idx="0">
                  <c:v>$3/kg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'SI Table 9'!$C$29:$C$44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9'!$O$6:$O$21</c:f>
              <c:numCache>
                <c:formatCode>General</c:formatCode>
                <c:ptCount val="16"/>
                <c:pt idx="0">
                  <c:v>5.8799278846153848</c:v>
                </c:pt>
                <c:pt idx="1">
                  <c:v>6.1299278846153848</c:v>
                </c:pt>
                <c:pt idx="2">
                  <c:v>6.3799278846153857</c:v>
                </c:pt>
                <c:pt idx="3">
                  <c:v>6.6299278846153857</c:v>
                </c:pt>
                <c:pt idx="4">
                  <c:v>6.8799278846153857</c:v>
                </c:pt>
                <c:pt idx="5">
                  <c:v>7.1299278846153857</c:v>
                </c:pt>
                <c:pt idx="6">
                  <c:v>7.3799278846153857</c:v>
                </c:pt>
                <c:pt idx="7">
                  <c:v>7.6299278846153857</c:v>
                </c:pt>
                <c:pt idx="8">
                  <c:v>7.8799278846153866</c:v>
                </c:pt>
                <c:pt idx="9">
                  <c:v>8.1299278846153857</c:v>
                </c:pt>
                <c:pt idx="10">
                  <c:v>8.3799278846153875</c:v>
                </c:pt>
                <c:pt idx="11">
                  <c:v>8.6299278846153875</c:v>
                </c:pt>
                <c:pt idx="12">
                  <c:v>8.8799278846153875</c:v>
                </c:pt>
                <c:pt idx="13">
                  <c:v>9.1299278846153875</c:v>
                </c:pt>
                <c:pt idx="14">
                  <c:v>9.3799278846153875</c:v>
                </c:pt>
                <c:pt idx="15">
                  <c:v>9.6299278846153875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17-4281-BE44-435ADFCE7CF8}"/>
            </c:ext>
          </c:extLst>
        </c:ser>
        <c:ser>
          <c:idx val="2"/>
          <c:order val="1"/>
          <c:tx>
            <c:strRef>
              <c:f>'SI Table 9.1'!$F$4</c:f>
              <c:strCache>
                <c:ptCount val="1"/>
                <c:pt idx="0">
                  <c:v>No PTC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9.1'!$G$6:$G$21</c:f>
              <c:numCache>
                <c:formatCode>General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3.1039423076923089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3.7039423076923086</c:v>
                </c:pt>
                <c:pt idx="8">
                  <c:v>3.9039423076923097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17-4281-BE44-435ADFCE7CF8}"/>
            </c:ext>
          </c:extLst>
        </c:ser>
        <c:ser>
          <c:idx val="4"/>
          <c:order val="2"/>
          <c:tx>
            <c:strRef>
              <c:f>'SI Table 9.1'!$H$4</c:f>
              <c:strCache>
                <c:ptCount val="1"/>
                <c:pt idx="0">
                  <c:v>$0.6/kg H2</c:v>
                </c:pt>
              </c:strCache>
            </c:strRef>
          </c:tx>
          <c:spPr>
            <a:ln w="19050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9.1'!$I$6:$I$21</c:f>
              <c:numCache>
                <c:formatCode>General</c:formatCode>
                <c:ptCount val="16"/>
                <c:pt idx="0">
                  <c:v>2.9039423076923079</c:v>
                </c:pt>
                <c:pt idx="1">
                  <c:v>3.1039423076923081</c:v>
                </c:pt>
                <c:pt idx="2">
                  <c:v>3.3039423076923082</c:v>
                </c:pt>
                <c:pt idx="3">
                  <c:v>3.5039423076923084</c:v>
                </c:pt>
                <c:pt idx="4">
                  <c:v>3.703942307692309</c:v>
                </c:pt>
                <c:pt idx="5">
                  <c:v>3.9039423076923088</c:v>
                </c:pt>
                <c:pt idx="6">
                  <c:v>4.1039423076923089</c:v>
                </c:pt>
                <c:pt idx="7">
                  <c:v>4.3039423076923082</c:v>
                </c:pt>
                <c:pt idx="8">
                  <c:v>4.5039423076923093</c:v>
                </c:pt>
                <c:pt idx="9">
                  <c:v>4.7039423076923086</c:v>
                </c:pt>
                <c:pt idx="10">
                  <c:v>4.9039423076923088</c:v>
                </c:pt>
                <c:pt idx="11">
                  <c:v>5.1039423076923089</c:v>
                </c:pt>
                <c:pt idx="12">
                  <c:v>5.3039423076923091</c:v>
                </c:pt>
                <c:pt idx="13">
                  <c:v>5.5039423076923093</c:v>
                </c:pt>
                <c:pt idx="14">
                  <c:v>5.7039423076923095</c:v>
                </c:pt>
                <c:pt idx="15">
                  <c:v>5.9039423076923097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17-4281-BE44-435ADFCE7CF8}"/>
            </c:ext>
          </c:extLst>
        </c:ser>
        <c:ser>
          <c:idx val="6"/>
          <c:order val="3"/>
          <c:tx>
            <c:strRef>
              <c:f>'SI Table 9.1'!$J$4</c:f>
              <c:strCache>
                <c:ptCount val="1"/>
                <c:pt idx="0">
                  <c:v>$0.75/kg H2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9.1'!$K$6:$K$21</c:f>
              <c:numCache>
                <c:formatCode>General</c:formatCode>
                <c:ptCount val="16"/>
                <c:pt idx="0">
                  <c:v>3.0539423076923078</c:v>
                </c:pt>
                <c:pt idx="1">
                  <c:v>3.253942307692308</c:v>
                </c:pt>
                <c:pt idx="2">
                  <c:v>3.4539423076923081</c:v>
                </c:pt>
                <c:pt idx="3">
                  <c:v>3.6539423076923083</c:v>
                </c:pt>
                <c:pt idx="4">
                  <c:v>3.8539423076923089</c:v>
                </c:pt>
                <c:pt idx="5">
                  <c:v>4.0539423076923082</c:v>
                </c:pt>
                <c:pt idx="6">
                  <c:v>4.2539423076923093</c:v>
                </c:pt>
                <c:pt idx="7">
                  <c:v>4.4539423076923086</c:v>
                </c:pt>
                <c:pt idx="8">
                  <c:v>4.6539423076923097</c:v>
                </c:pt>
                <c:pt idx="9">
                  <c:v>4.8539423076923089</c:v>
                </c:pt>
                <c:pt idx="10">
                  <c:v>5.0539423076923091</c:v>
                </c:pt>
                <c:pt idx="11">
                  <c:v>5.2539423076923093</c:v>
                </c:pt>
                <c:pt idx="12">
                  <c:v>5.4539423076923095</c:v>
                </c:pt>
                <c:pt idx="13">
                  <c:v>5.6539423076923097</c:v>
                </c:pt>
                <c:pt idx="14">
                  <c:v>5.8539423076923098</c:v>
                </c:pt>
                <c:pt idx="15">
                  <c:v>6.05394230769231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17-4281-BE44-435ADFCE7CF8}"/>
            </c:ext>
          </c:extLst>
        </c:ser>
        <c:ser>
          <c:idx val="11"/>
          <c:order val="4"/>
          <c:tx>
            <c:strRef>
              <c:f>'SI Table 9.1'!$L$4</c:f>
              <c:strCache>
                <c:ptCount val="1"/>
                <c:pt idx="0">
                  <c:v>$1.002/kg H2</c:v>
                </c:pt>
              </c:strCache>
            </c:strRef>
          </c:tx>
          <c:spPr>
            <a:ln w="1905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9.1'!$M$6:$M$21</c:f>
              <c:numCache>
                <c:formatCode>General</c:formatCode>
                <c:ptCount val="16"/>
                <c:pt idx="0">
                  <c:v>3.305942307692308</c:v>
                </c:pt>
                <c:pt idx="1">
                  <c:v>3.5059423076923082</c:v>
                </c:pt>
                <c:pt idx="2">
                  <c:v>3.7059423076923084</c:v>
                </c:pt>
                <c:pt idx="3">
                  <c:v>3.9059423076923085</c:v>
                </c:pt>
                <c:pt idx="4">
                  <c:v>4.1059423076923087</c:v>
                </c:pt>
                <c:pt idx="5">
                  <c:v>4.3059423076923089</c:v>
                </c:pt>
                <c:pt idx="6">
                  <c:v>4.5059423076923091</c:v>
                </c:pt>
                <c:pt idx="7">
                  <c:v>4.7059423076923084</c:v>
                </c:pt>
                <c:pt idx="8">
                  <c:v>4.9059423076923094</c:v>
                </c:pt>
                <c:pt idx="9">
                  <c:v>5.1059423076923087</c:v>
                </c:pt>
                <c:pt idx="10">
                  <c:v>5.3059423076923089</c:v>
                </c:pt>
                <c:pt idx="11">
                  <c:v>5.5059423076923091</c:v>
                </c:pt>
                <c:pt idx="12">
                  <c:v>5.7059423076923093</c:v>
                </c:pt>
                <c:pt idx="13">
                  <c:v>5.9059423076923094</c:v>
                </c:pt>
                <c:pt idx="14">
                  <c:v>6.1059423076923096</c:v>
                </c:pt>
                <c:pt idx="15">
                  <c:v>6.3059423076923098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17-4281-BE44-435ADFCE7CF8}"/>
            </c:ext>
          </c:extLst>
        </c:ser>
        <c:ser>
          <c:idx val="12"/>
          <c:order val="5"/>
          <c:tx>
            <c:strRef>
              <c:f>'SI Table 9.1'!$N$4:$O$4</c:f>
              <c:strCache>
                <c:ptCount val="1"/>
                <c:pt idx="0">
                  <c:v>$3/kg H2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9.1'!$O$6:$O$21</c:f>
              <c:numCache>
                <c:formatCode>General</c:formatCode>
                <c:ptCount val="16"/>
                <c:pt idx="0">
                  <c:v>5.3039423076923082</c:v>
                </c:pt>
                <c:pt idx="1">
                  <c:v>5.5039423076923075</c:v>
                </c:pt>
                <c:pt idx="2">
                  <c:v>5.7039423076923086</c:v>
                </c:pt>
                <c:pt idx="3">
                  <c:v>5.9039423076923079</c:v>
                </c:pt>
                <c:pt idx="4">
                  <c:v>6.1039423076923089</c:v>
                </c:pt>
                <c:pt idx="5">
                  <c:v>6.3039423076923082</c:v>
                </c:pt>
                <c:pt idx="6">
                  <c:v>6.5039423076923093</c:v>
                </c:pt>
                <c:pt idx="7">
                  <c:v>6.7039423076923086</c:v>
                </c:pt>
                <c:pt idx="8">
                  <c:v>6.9039423076923097</c:v>
                </c:pt>
                <c:pt idx="9">
                  <c:v>7.1039423076923089</c:v>
                </c:pt>
                <c:pt idx="10">
                  <c:v>7.3039423076923091</c:v>
                </c:pt>
                <c:pt idx="11">
                  <c:v>7.5039423076923093</c:v>
                </c:pt>
                <c:pt idx="12">
                  <c:v>7.7039423076923095</c:v>
                </c:pt>
                <c:pt idx="13">
                  <c:v>7.9039423076923097</c:v>
                </c:pt>
                <c:pt idx="14">
                  <c:v>8.1039423076923107</c:v>
                </c:pt>
                <c:pt idx="15">
                  <c:v>8.30394230769231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17-4281-BE44-435ADFCE7CF8}"/>
            </c:ext>
          </c:extLst>
        </c:ser>
        <c:ser>
          <c:idx val="8"/>
          <c:order val="6"/>
          <c:tx>
            <c:strRef>
              <c:f>'SI Table 9'!$N$4</c:f>
              <c:strCache>
                <c:ptCount val="1"/>
                <c:pt idx="0">
                  <c:v>$3/kg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'SI Table 9'!$C$29:$C$44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9'!$O$6:$O$21</c:f>
              <c:numCache>
                <c:formatCode>General</c:formatCode>
                <c:ptCount val="16"/>
                <c:pt idx="0">
                  <c:v>5.8799278846153848</c:v>
                </c:pt>
                <c:pt idx="1">
                  <c:v>6.1299278846153848</c:v>
                </c:pt>
                <c:pt idx="2">
                  <c:v>6.3799278846153857</c:v>
                </c:pt>
                <c:pt idx="3">
                  <c:v>6.6299278846153857</c:v>
                </c:pt>
                <c:pt idx="4">
                  <c:v>6.8799278846153857</c:v>
                </c:pt>
                <c:pt idx="5">
                  <c:v>7.1299278846153857</c:v>
                </c:pt>
                <c:pt idx="6">
                  <c:v>7.3799278846153857</c:v>
                </c:pt>
                <c:pt idx="7">
                  <c:v>7.6299278846153857</c:v>
                </c:pt>
                <c:pt idx="8">
                  <c:v>7.8799278846153866</c:v>
                </c:pt>
                <c:pt idx="9">
                  <c:v>8.1299278846153857</c:v>
                </c:pt>
                <c:pt idx="10">
                  <c:v>8.3799278846153875</c:v>
                </c:pt>
                <c:pt idx="11">
                  <c:v>8.6299278846153875</c:v>
                </c:pt>
                <c:pt idx="12">
                  <c:v>8.8799278846153875</c:v>
                </c:pt>
                <c:pt idx="13">
                  <c:v>9.1299278846153875</c:v>
                </c:pt>
                <c:pt idx="14">
                  <c:v>9.3799278846153875</c:v>
                </c:pt>
                <c:pt idx="15">
                  <c:v>9.6299278846153875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17-4281-BE44-435ADFCE7CF8}"/>
            </c:ext>
          </c:extLst>
        </c:ser>
        <c:ser>
          <c:idx val="3"/>
          <c:order val="8"/>
          <c:tx>
            <c:strRef>
              <c:f>'SI Table 9.1'!$H$4</c:f>
              <c:strCache>
                <c:ptCount val="1"/>
                <c:pt idx="0">
                  <c:v>$0.6/kg H2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9.1'!$I$6:$I$21</c:f>
              <c:numCache>
                <c:formatCode>General</c:formatCode>
                <c:ptCount val="16"/>
                <c:pt idx="0">
                  <c:v>2.9039423076923079</c:v>
                </c:pt>
                <c:pt idx="1">
                  <c:v>3.1039423076923081</c:v>
                </c:pt>
                <c:pt idx="2">
                  <c:v>3.3039423076923082</c:v>
                </c:pt>
                <c:pt idx="3">
                  <c:v>3.5039423076923084</c:v>
                </c:pt>
                <c:pt idx="4">
                  <c:v>3.703942307692309</c:v>
                </c:pt>
                <c:pt idx="5">
                  <c:v>3.9039423076923088</c:v>
                </c:pt>
                <c:pt idx="6">
                  <c:v>4.1039423076923089</c:v>
                </c:pt>
                <c:pt idx="7">
                  <c:v>4.3039423076923082</c:v>
                </c:pt>
                <c:pt idx="8">
                  <c:v>4.5039423076923093</c:v>
                </c:pt>
                <c:pt idx="9">
                  <c:v>4.7039423076923086</c:v>
                </c:pt>
                <c:pt idx="10">
                  <c:v>4.9039423076923088</c:v>
                </c:pt>
                <c:pt idx="11">
                  <c:v>5.1039423076923089</c:v>
                </c:pt>
                <c:pt idx="12">
                  <c:v>5.3039423076923091</c:v>
                </c:pt>
                <c:pt idx="13">
                  <c:v>5.5039423076923093</c:v>
                </c:pt>
                <c:pt idx="14">
                  <c:v>5.7039423076923095</c:v>
                </c:pt>
                <c:pt idx="15">
                  <c:v>5.9039423076923097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17-4281-BE44-435ADFCE7CF8}"/>
            </c:ext>
          </c:extLst>
        </c:ser>
        <c:ser>
          <c:idx val="5"/>
          <c:order val="9"/>
          <c:tx>
            <c:strRef>
              <c:f>'SI Table 9.1'!$J$4</c:f>
              <c:strCache>
                <c:ptCount val="1"/>
                <c:pt idx="0">
                  <c:v>$0.75/kg H2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9.1'!$K$6:$K$21</c:f>
              <c:numCache>
                <c:formatCode>General</c:formatCode>
                <c:ptCount val="16"/>
                <c:pt idx="0">
                  <c:v>3.0539423076923078</c:v>
                </c:pt>
                <c:pt idx="1">
                  <c:v>3.253942307692308</c:v>
                </c:pt>
                <c:pt idx="2">
                  <c:v>3.4539423076923081</c:v>
                </c:pt>
                <c:pt idx="3">
                  <c:v>3.6539423076923083</c:v>
                </c:pt>
                <c:pt idx="4">
                  <c:v>3.8539423076923089</c:v>
                </c:pt>
                <c:pt idx="5">
                  <c:v>4.0539423076923082</c:v>
                </c:pt>
                <c:pt idx="6">
                  <c:v>4.2539423076923093</c:v>
                </c:pt>
                <c:pt idx="7">
                  <c:v>4.4539423076923086</c:v>
                </c:pt>
                <c:pt idx="8">
                  <c:v>4.6539423076923097</c:v>
                </c:pt>
                <c:pt idx="9">
                  <c:v>4.8539423076923089</c:v>
                </c:pt>
                <c:pt idx="10">
                  <c:v>5.0539423076923091</c:v>
                </c:pt>
                <c:pt idx="11">
                  <c:v>5.2539423076923093</c:v>
                </c:pt>
                <c:pt idx="12">
                  <c:v>5.4539423076923095</c:v>
                </c:pt>
                <c:pt idx="13">
                  <c:v>5.6539423076923097</c:v>
                </c:pt>
                <c:pt idx="14">
                  <c:v>5.8539423076923098</c:v>
                </c:pt>
                <c:pt idx="15">
                  <c:v>6.05394230769231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17-4281-BE44-435ADFCE7CF8}"/>
            </c:ext>
          </c:extLst>
        </c:ser>
        <c:ser>
          <c:idx val="7"/>
          <c:order val="10"/>
          <c:tx>
            <c:strRef>
              <c:f>'SI Table 9.1'!$L$4</c:f>
              <c:strCache>
                <c:ptCount val="1"/>
                <c:pt idx="0">
                  <c:v>$1.002/kg H2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9.1'!$M$6:$M$21</c:f>
              <c:numCache>
                <c:formatCode>General</c:formatCode>
                <c:ptCount val="16"/>
                <c:pt idx="0">
                  <c:v>3.305942307692308</c:v>
                </c:pt>
                <c:pt idx="1">
                  <c:v>3.5059423076923082</c:v>
                </c:pt>
                <c:pt idx="2">
                  <c:v>3.7059423076923084</c:v>
                </c:pt>
                <c:pt idx="3">
                  <c:v>3.9059423076923085</c:v>
                </c:pt>
                <c:pt idx="4">
                  <c:v>4.1059423076923087</c:v>
                </c:pt>
                <c:pt idx="5">
                  <c:v>4.3059423076923089</c:v>
                </c:pt>
                <c:pt idx="6">
                  <c:v>4.5059423076923091</c:v>
                </c:pt>
                <c:pt idx="7">
                  <c:v>4.7059423076923084</c:v>
                </c:pt>
                <c:pt idx="8">
                  <c:v>4.9059423076923094</c:v>
                </c:pt>
                <c:pt idx="9">
                  <c:v>5.1059423076923087</c:v>
                </c:pt>
                <c:pt idx="10">
                  <c:v>5.3059423076923089</c:v>
                </c:pt>
                <c:pt idx="11">
                  <c:v>5.5059423076923091</c:v>
                </c:pt>
                <c:pt idx="12">
                  <c:v>5.7059423076923093</c:v>
                </c:pt>
                <c:pt idx="13">
                  <c:v>5.9059423076923094</c:v>
                </c:pt>
                <c:pt idx="14">
                  <c:v>6.1059423076923096</c:v>
                </c:pt>
                <c:pt idx="15">
                  <c:v>6.3059423076923098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F17-4281-BE44-435ADFCE7CF8}"/>
            </c:ext>
          </c:extLst>
        </c:ser>
        <c:ser>
          <c:idx val="9"/>
          <c:order val="11"/>
          <c:tx>
            <c:strRef>
              <c:f>'SI Table 9.1'!$N$4:$O$4</c:f>
              <c:strCache>
                <c:ptCount val="1"/>
                <c:pt idx="0">
                  <c:v>$3/kg H2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9.1'!$O$6:$O$21</c:f>
              <c:numCache>
                <c:formatCode>General</c:formatCode>
                <c:ptCount val="16"/>
                <c:pt idx="0">
                  <c:v>5.3039423076923082</c:v>
                </c:pt>
                <c:pt idx="1">
                  <c:v>5.5039423076923075</c:v>
                </c:pt>
                <c:pt idx="2">
                  <c:v>5.7039423076923086</c:v>
                </c:pt>
                <c:pt idx="3">
                  <c:v>5.9039423076923079</c:v>
                </c:pt>
                <c:pt idx="4">
                  <c:v>6.1039423076923089</c:v>
                </c:pt>
                <c:pt idx="5">
                  <c:v>6.3039423076923082</c:v>
                </c:pt>
                <c:pt idx="6">
                  <c:v>6.5039423076923093</c:v>
                </c:pt>
                <c:pt idx="7">
                  <c:v>6.7039423076923086</c:v>
                </c:pt>
                <c:pt idx="8">
                  <c:v>6.9039423076923097</c:v>
                </c:pt>
                <c:pt idx="9">
                  <c:v>7.1039423076923089</c:v>
                </c:pt>
                <c:pt idx="10">
                  <c:v>7.3039423076923091</c:v>
                </c:pt>
                <c:pt idx="11">
                  <c:v>7.5039423076923093</c:v>
                </c:pt>
                <c:pt idx="12">
                  <c:v>7.7039423076923095</c:v>
                </c:pt>
                <c:pt idx="13">
                  <c:v>7.9039423076923097</c:v>
                </c:pt>
                <c:pt idx="14">
                  <c:v>8.1039423076923107</c:v>
                </c:pt>
                <c:pt idx="15">
                  <c:v>8.30394230769231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F17-4281-BE44-435ADFCE7CF8}"/>
            </c:ext>
          </c:extLst>
        </c:ser>
        <c:ser>
          <c:idx val="15"/>
          <c:order val="12"/>
          <c:tx>
            <c:strRef>
              <c:f>'SI Table 9.2'!$N$4:$O$4</c:f>
              <c:strCache>
                <c:ptCount val="1"/>
                <c:pt idx="0">
                  <c:v>$3/kg H2</c:v>
                </c:pt>
              </c:strCache>
            </c:strRef>
          </c:tx>
          <c:spPr>
            <a:ln w="1905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'SI Table 9.2'!$C$29:$C$44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9.2'!$O$6:$O$21</c:f>
              <c:numCache>
                <c:formatCode>General</c:formatCode>
                <c:ptCount val="16"/>
                <c:pt idx="0">
                  <c:v>4.9199519230769226</c:v>
                </c:pt>
                <c:pt idx="1">
                  <c:v>5.0866185897435905</c:v>
                </c:pt>
                <c:pt idx="2">
                  <c:v>5.2532852564102566</c:v>
                </c:pt>
                <c:pt idx="3">
                  <c:v>5.4199519230769235</c:v>
                </c:pt>
                <c:pt idx="4">
                  <c:v>5.5866185897435905</c:v>
                </c:pt>
                <c:pt idx="5">
                  <c:v>5.7532852564102575</c:v>
                </c:pt>
                <c:pt idx="6">
                  <c:v>5.9199519230769244</c:v>
                </c:pt>
                <c:pt idx="7">
                  <c:v>6.0866185897435905</c:v>
                </c:pt>
                <c:pt idx="8">
                  <c:v>6.2532852564102583</c:v>
                </c:pt>
                <c:pt idx="9">
                  <c:v>6.4199519230769244</c:v>
                </c:pt>
                <c:pt idx="10">
                  <c:v>6.5866185897435914</c:v>
                </c:pt>
                <c:pt idx="11">
                  <c:v>6.7532852564102583</c:v>
                </c:pt>
                <c:pt idx="12">
                  <c:v>6.9199519230769244</c:v>
                </c:pt>
                <c:pt idx="13">
                  <c:v>7.0866185897435914</c:v>
                </c:pt>
                <c:pt idx="14">
                  <c:v>7.2532852564102583</c:v>
                </c:pt>
                <c:pt idx="15">
                  <c:v>7.4199519230769253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F17-4281-BE44-435ADFCE7CF8}"/>
            </c:ext>
          </c:extLst>
        </c:ser>
        <c:ser>
          <c:idx val="1"/>
          <c:order val="7"/>
          <c:tx>
            <c:strRef>
              <c:f>'SI Table 9.1'!$F$4</c:f>
              <c:strCache>
                <c:ptCount val="1"/>
                <c:pt idx="0">
                  <c:v>No PTC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9.1'!$G$6:$G$21</c:f>
              <c:numCache>
                <c:formatCode>General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3.1039423076923089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3.7039423076923086</c:v>
                </c:pt>
                <c:pt idx="8">
                  <c:v>3.9039423076923097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F17-4281-BE44-435ADFCE7CF8}"/>
            </c:ext>
          </c:extLst>
        </c:ser>
        <c:ser>
          <c:idx val="14"/>
          <c:order val="13"/>
          <c:tx>
            <c:strRef>
              <c:f>'SI Table 9.2'!$N$4:$O$4</c:f>
              <c:strCache>
                <c:ptCount val="1"/>
                <c:pt idx="0">
                  <c:v>$3/kg H2</c:v>
                </c:pt>
              </c:strCache>
            </c:strRef>
          </c:tx>
          <c:spPr>
            <a:ln w="1905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'SI Table 9.2'!$C$29:$C$44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9.2'!$O$6:$O$21</c:f>
              <c:numCache>
                <c:formatCode>General</c:formatCode>
                <c:ptCount val="16"/>
                <c:pt idx="0">
                  <c:v>4.9199519230769226</c:v>
                </c:pt>
                <c:pt idx="1">
                  <c:v>5.0866185897435905</c:v>
                </c:pt>
                <c:pt idx="2">
                  <c:v>5.2532852564102566</c:v>
                </c:pt>
                <c:pt idx="3">
                  <c:v>5.4199519230769235</c:v>
                </c:pt>
                <c:pt idx="4">
                  <c:v>5.5866185897435905</c:v>
                </c:pt>
                <c:pt idx="5">
                  <c:v>5.7532852564102575</c:v>
                </c:pt>
                <c:pt idx="6">
                  <c:v>5.9199519230769244</c:v>
                </c:pt>
                <c:pt idx="7">
                  <c:v>6.0866185897435905</c:v>
                </c:pt>
                <c:pt idx="8">
                  <c:v>6.2532852564102583</c:v>
                </c:pt>
                <c:pt idx="9">
                  <c:v>6.4199519230769244</c:v>
                </c:pt>
                <c:pt idx="10">
                  <c:v>6.5866185897435914</c:v>
                </c:pt>
                <c:pt idx="11">
                  <c:v>6.7532852564102583</c:v>
                </c:pt>
                <c:pt idx="12">
                  <c:v>6.9199519230769244</c:v>
                </c:pt>
                <c:pt idx="13">
                  <c:v>7.0866185897435914</c:v>
                </c:pt>
                <c:pt idx="14">
                  <c:v>7.2532852564102583</c:v>
                </c:pt>
                <c:pt idx="15">
                  <c:v>7.4199519230769253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F17-4281-BE44-435ADFCE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337407"/>
        <c:axId val="1"/>
      </c:scatterChart>
      <c:scatterChart>
        <c:scatterStyle val="lineMarker"/>
        <c:varyColors val="0"/>
        <c:ser>
          <c:idx val="13"/>
          <c:order val="14"/>
          <c:tx>
            <c:strRef>
              <c:f>'SI Table 9'!$F$4</c:f>
              <c:strCache>
                <c:ptCount val="1"/>
                <c:pt idx="0">
                  <c:v>No PTC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xVal>
            <c:numRef>
              <c:f>'SI Table 9.2'!$E$29:$E$44</c:f>
              <c:numCache>
                <c:formatCode>0.0</c:formatCode>
                <c:ptCount val="16"/>
                <c:pt idx="0">
                  <c:v>54.153068696493314</c:v>
                </c:pt>
                <c:pt idx="1">
                  <c:v>58.853973620691221</c:v>
                </c:pt>
                <c:pt idx="2">
                  <c:v>63.554878544889128</c:v>
                </c:pt>
                <c:pt idx="3">
                  <c:v>68.255783469087049</c:v>
                </c:pt>
                <c:pt idx="4">
                  <c:v>72.956688393284963</c:v>
                </c:pt>
                <c:pt idx="5">
                  <c:v>77.657593317482863</c:v>
                </c:pt>
                <c:pt idx="6">
                  <c:v>82.358498241680792</c:v>
                </c:pt>
                <c:pt idx="7">
                  <c:v>87.059403165878692</c:v>
                </c:pt>
                <c:pt idx="8">
                  <c:v>91.760308090076606</c:v>
                </c:pt>
                <c:pt idx="9">
                  <c:v>96.461213014274492</c:v>
                </c:pt>
                <c:pt idx="10">
                  <c:v>101.16211793847242</c:v>
                </c:pt>
                <c:pt idx="11">
                  <c:v>105.86302286267033</c:v>
                </c:pt>
                <c:pt idx="12">
                  <c:v>110.56392778686825</c:v>
                </c:pt>
                <c:pt idx="13">
                  <c:v>115.26483271106616</c:v>
                </c:pt>
                <c:pt idx="14">
                  <c:v>119.96573763526409</c:v>
                </c:pt>
                <c:pt idx="15">
                  <c:v>124.66664255946198</c:v>
                </c:pt>
              </c:numCache>
            </c:numRef>
          </c:xVal>
          <c:yVal>
            <c:numRef>
              <c:f>'SI Table 9'!$G$6:$G$21</c:f>
              <c:numCache>
                <c:formatCode>General</c:formatCode>
                <c:ptCount val="16"/>
                <c:pt idx="0">
                  <c:v>2.8799278846153848</c:v>
                </c:pt>
                <c:pt idx="1">
                  <c:v>3.1299278846153848</c:v>
                </c:pt>
                <c:pt idx="2">
                  <c:v>3.3799278846153853</c:v>
                </c:pt>
                <c:pt idx="3">
                  <c:v>3.6299278846153857</c:v>
                </c:pt>
                <c:pt idx="4">
                  <c:v>3.8799278846153862</c:v>
                </c:pt>
                <c:pt idx="5">
                  <c:v>4.1299278846153857</c:v>
                </c:pt>
                <c:pt idx="6">
                  <c:v>4.3799278846153857</c:v>
                </c:pt>
                <c:pt idx="7">
                  <c:v>4.6299278846153857</c:v>
                </c:pt>
                <c:pt idx="8">
                  <c:v>4.8799278846153866</c:v>
                </c:pt>
                <c:pt idx="9">
                  <c:v>5.1299278846153857</c:v>
                </c:pt>
                <c:pt idx="10">
                  <c:v>5.3799278846153866</c:v>
                </c:pt>
                <c:pt idx="11">
                  <c:v>5.6299278846153866</c:v>
                </c:pt>
                <c:pt idx="12">
                  <c:v>5.8799278846153866</c:v>
                </c:pt>
                <c:pt idx="13">
                  <c:v>6.1299278846153866</c:v>
                </c:pt>
                <c:pt idx="14">
                  <c:v>6.3799278846153875</c:v>
                </c:pt>
                <c:pt idx="15">
                  <c:v>6.6299278846153875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F17-4281-BE44-435ADFCE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0003583"/>
        <c:axId val="1960002591"/>
      </c:scatterChart>
      <c:valAx>
        <c:axId val="1547337407"/>
        <c:scaling>
          <c:orientation val="minMax"/>
          <c:max val="5"/>
          <c:min val="2.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18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inMax"/>
          <c:max val="8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Break-even hydrogen cost, $/kg H </a:t>
                </a:r>
                <a:r>
                  <a:rPr lang="en-US" sz="1400" b="1" i="0" u="none" strike="noStrike" baseline="-2500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47337407"/>
        <c:crosses val="autoZero"/>
        <c:crossBetween val="midCat"/>
      </c:valAx>
      <c:valAx>
        <c:axId val="1960002591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60003583"/>
        <c:crosses val="max"/>
        <c:crossBetween val="midCat"/>
      </c:valAx>
      <c:valAx>
        <c:axId val="1960003583"/>
        <c:scaling>
          <c:orientation val="minMax"/>
          <c:max val="117"/>
          <c:min val="61"/>
        </c:scaling>
        <c:delete val="0"/>
        <c:axPos val="t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crossAx val="1960002591"/>
        <c:crosses val="max"/>
        <c:crossBetween val="midCat"/>
        <c:majorUnit val="5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48642107260038E-2"/>
          <c:y val="0.1351892759369395"/>
          <c:w val="0.84712080106779775"/>
          <c:h val="0.78956669498725573"/>
        </c:manualLayout>
      </c:layout>
      <c:scatterChart>
        <c:scatterStyle val="lineMarker"/>
        <c:varyColors val="0"/>
        <c:ser>
          <c:idx val="2"/>
          <c:order val="0"/>
          <c:tx>
            <c:strRef>
              <c:f>'SI Table 9.4'!$F$4</c:f>
              <c:strCache>
                <c:ptCount val="1"/>
                <c:pt idx="0">
                  <c:v>No 45Q tax credit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9.4'!$G$6:$G$21</c:f>
              <c:numCache>
                <c:formatCode>General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3.1039423076923089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3.7039423076923086</c:v>
                </c:pt>
                <c:pt idx="8">
                  <c:v>3.9039423076923097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8A-4A98-9890-43C80B4093E7}"/>
            </c:ext>
          </c:extLst>
        </c:ser>
        <c:ser>
          <c:idx val="0"/>
          <c:order val="1"/>
          <c:tx>
            <c:strRef>
              <c:f>'SI Table 9.4'!$H$4</c:f>
              <c:strCache>
                <c:ptCount val="1"/>
                <c:pt idx="0">
                  <c:v>$60/t CO2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9.4'!$I$6:$I$21</c:f>
              <c:numCache>
                <c:formatCode>General</c:formatCode>
                <c:ptCount val="16"/>
                <c:pt idx="0">
                  <c:v>2.465925164835165</c:v>
                </c:pt>
                <c:pt idx="1">
                  <c:v>2.6659251648351647</c:v>
                </c:pt>
                <c:pt idx="2">
                  <c:v>2.8659251648351654</c:v>
                </c:pt>
                <c:pt idx="3">
                  <c:v>3.065925164835166</c:v>
                </c:pt>
                <c:pt idx="4">
                  <c:v>3.2659251648351657</c:v>
                </c:pt>
                <c:pt idx="5">
                  <c:v>3.4659251648351659</c:v>
                </c:pt>
                <c:pt idx="6">
                  <c:v>3.6659251648351656</c:v>
                </c:pt>
                <c:pt idx="7">
                  <c:v>3.8659251648351658</c:v>
                </c:pt>
                <c:pt idx="8">
                  <c:v>4.0659251648351669</c:v>
                </c:pt>
                <c:pt idx="9">
                  <c:v>4.2659251648351662</c:v>
                </c:pt>
                <c:pt idx="10">
                  <c:v>4.4659251648351663</c:v>
                </c:pt>
                <c:pt idx="11">
                  <c:v>4.6659251648351665</c:v>
                </c:pt>
                <c:pt idx="12">
                  <c:v>4.8659251648351667</c:v>
                </c:pt>
                <c:pt idx="13">
                  <c:v>5.0659251648351669</c:v>
                </c:pt>
                <c:pt idx="14">
                  <c:v>5.265925164835167</c:v>
                </c:pt>
                <c:pt idx="15">
                  <c:v>5.4659251648351672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8A-4A98-9890-43C80B4093E7}"/>
            </c:ext>
          </c:extLst>
        </c:ser>
        <c:ser>
          <c:idx val="1"/>
          <c:order val="2"/>
          <c:tx>
            <c:strRef>
              <c:f>'SI Table 9.4'!$J$4</c:f>
              <c:strCache>
                <c:ptCount val="1"/>
                <c:pt idx="0">
                  <c:v>$100/t CO2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9.4'!$K$6:$K$21</c:f>
              <c:numCache>
                <c:formatCode>General</c:formatCode>
                <c:ptCount val="16"/>
                <c:pt idx="0">
                  <c:v>2.5739137362637363</c:v>
                </c:pt>
                <c:pt idx="1">
                  <c:v>2.7739137362637365</c:v>
                </c:pt>
                <c:pt idx="2">
                  <c:v>2.9739137362637367</c:v>
                </c:pt>
                <c:pt idx="3">
                  <c:v>3.1739137362637369</c:v>
                </c:pt>
                <c:pt idx="4">
                  <c:v>3.3739137362637375</c:v>
                </c:pt>
                <c:pt idx="5">
                  <c:v>3.5739137362637372</c:v>
                </c:pt>
                <c:pt idx="6">
                  <c:v>3.7739137362637374</c:v>
                </c:pt>
                <c:pt idx="7">
                  <c:v>3.9739137362637376</c:v>
                </c:pt>
                <c:pt idx="8">
                  <c:v>4.1739137362637377</c:v>
                </c:pt>
                <c:pt idx="9">
                  <c:v>4.373913736263737</c:v>
                </c:pt>
                <c:pt idx="10">
                  <c:v>4.5739137362637381</c:v>
                </c:pt>
                <c:pt idx="11">
                  <c:v>4.7739137362637383</c:v>
                </c:pt>
                <c:pt idx="12">
                  <c:v>4.9739137362637384</c:v>
                </c:pt>
                <c:pt idx="13">
                  <c:v>5.1739137362637377</c:v>
                </c:pt>
                <c:pt idx="14">
                  <c:v>5.3739137362637388</c:v>
                </c:pt>
                <c:pt idx="15">
                  <c:v>5.573913736263739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8A-4A98-9890-43C80B4093E7}"/>
            </c:ext>
          </c:extLst>
        </c:ser>
        <c:ser>
          <c:idx val="3"/>
          <c:order val="3"/>
          <c:tx>
            <c:strRef>
              <c:f>'SI Table 9.4'!$L$4</c:f>
              <c:strCache>
                <c:ptCount val="1"/>
                <c:pt idx="0">
                  <c:v>$250/t CO2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9.4'!$M$6:$M$21</c:f>
              <c:numCache>
                <c:formatCode>General</c:formatCode>
                <c:ptCount val="16"/>
                <c:pt idx="0">
                  <c:v>2.9788708791208793</c:v>
                </c:pt>
                <c:pt idx="1">
                  <c:v>3.1788708791208795</c:v>
                </c:pt>
                <c:pt idx="2">
                  <c:v>3.3788708791208801</c:v>
                </c:pt>
                <c:pt idx="3">
                  <c:v>3.5788708791208799</c:v>
                </c:pt>
                <c:pt idx="4">
                  <c:v>3.77887087912088</c:v>
                </c:pt>
                <c:pt idx="5">
                  <c:v>3.9788708791208798</c:v>
                </c:pt>
                <c:pt idx="6">
                  <c:v>4.17887087912088</c:v>
                </c:pt>
                <c:pt idx="7">
                  <c:v>4.3788708791208801</c:v>
                </c:pt>
                <c:pt idx="8">
                  <c:v>4.5788708791208812</c:v>
                </c:pt>
                <c:pt idx="9">
                  <c:v>4.7788708791208796</c:v>
                </c:pt>
                <c:pt idx="10">
                  <c:v>4.9788708791208816</c:v>
                </c:pt>
                <c:pt idx="11">
                  <c:v>5.1788708791208808</c:v>
                </c:pt>
                <c:pt idx="12">
                  <c:v>5.378870879120881</c:v>
                </c:pt>
                <c:pt idx="13">
                  <c:v>5.5788708791208812</c:v>
                </c:pt>
                <c:pt idx="14">
                  <c:v>5.7788708791208814</c:v>
                </c:pt>
                <c:pt idx="15">
                  <c:v>5.9788708791208816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8A-4A98-9890-43C80B4093E7}"/>
            </c:ext>
          </c:extLst>
        </c:ser>
        <c:ser>
          <c:idx val="7"/>
          <c:order val="4"/>
          <c:tx>
            <c:strRef>
              <c:f>'SI Table 9.3'!$L$4</c:f>
              <c:strCache>
                <c:ptCount val="1"/>
                <c:pt idx="0">
                  <c:v>$250/t CO2</c:v>
                </c:pt>
              </c:strCache>
            </c:strRef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9.3'!$M$6:$M$21</c:f>
              <c:numCache>
                <c:formatCode>General</c:formatCode>
                <c:ptCount val="16"/>
                <c:pt idx="0">
                  <c:v>3.751713598901099</c:v>
                </c:pt>
                <c:pt idx="1">
                  <c:v>4.001713598901099</c:v>
                </c:pt>
                <c:pt idx="2">
                  <c:v>4.2517135989010999</c:v>
                </c:pt>
                <c:pt idx="3">
                  <c:v>4.5017135989010999</c:v>
                </c:pt>
                <c:pt idx="4">
                  <c:v>4.7517135989010999</c:v>
                </c:pt>
                <c:pt idx="5">
                  <c:v>5.0017135989010999</c:v>
                </c:pt>
                <c:pt idx="6">
                  <c:v>5.2517135989010999</c:v>
                </c:pt>
                <c:pt idx="7">
                  <c:v>5.5017135989010999</c:v>
                </c:pt>
                <c:pt idx="8">
                  <c:v>5.7517135989011017</c:v>
                </c:pt>
                <c:pt idx="9">
                  <c:v>6.0017135989010999</c:v>
                </c:pt>
                <c:pt idx="10">
                  <c:v>6.2517135989011017</c:v>
                </c:pt>
                <c:pt idx="11">
                  <c:v>6.5017135989011017</c:v>
                </c:pt>
                <c:pt idx="12">
                  <c:v>6.7517135989011017</c:v>
                </c:pt>
                <c:pt idx="13">
                  <c:v>7.0017135989011017</c:v>
                </c:pt>
                <c:pt idx="14">
                  <c:v>7.2517135989011017</c:v>
                </c:pt>
                <c:pt idx="15">
                  <c:v>7.5017135989011017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8A-4A98-9890-43C80B4093E7}"/>
            </c:ext>
          </c:extLst>
        </c:ser>
        <c:ser>
          <c:idx val="11"/>
          <c:order val="5"/>
          <c:tx>
            <c:strRef>
              <c:f>'SI Table 9.5'!$L$4</c:f>
              <c:strCache>
                <c:ptCount val="1"/>
                <c:pt idx="0">
                  <c:v>$250/t CO2</c:v>
                </c:pt>
              </c:strCache>
            </c:strRef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'SI Table 9.5'!$C$40:$C$55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9.5'!$M$6:$M$21</c:f>
              <c:numCache>
                <c:formatCode>General</c:formatCode>
                <c:ptCount val="16"/>
                <c:pt idx="0">
                  <c:v>2.4636423992673993</c:v>
                </c:pt>
                <c:pt idx="1">
                  <c:v>2.6303090659340662</c:v>
                </c:pt>
                <c:pt idx="2">
                  <c:v>2.7969757326007332</c:v>
                </c:pt>
                <c:pt idx="3">
                  <c:v>2.9636423992674001</c:v>
                </c:pt>
                <c:pt idx="4">
                  <c:v>3.1303090659340667</c:v>
                </c:pt>
                <c:pt idx="5">
                  <c:v>3.2969757326007332</c:v>
                </c:pt>
                <c:pt idx="6">
                  <c:v>3.4636423992674001</c:v>
                </c:pt>
                <c:pt idx="7">
                  <c:v>3.6303090659340667</c:v>
                </c:pt>
                <c:pt idx="8">
                  <c:v>3.7969757326007345</c:v>
                </c:pt>
                <c:pt idx="9">
                  <c:v>3.9636423992674001</c:v>
                </c:pt>
                <c:pt idx="10">
                  <c:v>4.1303090659340675</c:v>
                </c:pt>
                <c:pt idx="11">
                  <c:v>4.2969757326007345</c:v>
                </c:pt>
                <c:pt idx="12">
                  <c:v>4.4636423992674015</c:v>
                </c:pt>
                <c:pt idx="13">
                  <c:v>4.6303090659340675</c:v>
                </c:pt>
                <c:pt idx="14">
                  <c:v>4.7969757326007345</c:v>
                </c:pt>
                <c:pt idx="15">
                  <c:v>4.9636423992674015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8A-4A98-9890-43C80B409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337407"/>
        <c:axId val="1"/>
      </c:scatterChart>
      <c:scatterChart>
        <c:scatterStyle val="lineMarker"/>
        <c:varyColors val="0"/>
        <c:ser>
          <c:idx val="4"/>
          <c:order val="6"/>
          <c:tx>
            <c:strRef>
              <c:f>'SI Table 9.4'!$J$4</c:f>
              <c:strCache>
                <c:ptCount val="1"/>
                <c:pt idx="0">
                  <c:v>$100/t CO2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xVal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xVal>
          <c:yVal>
            <c:numRef>
              <c:f>'SI Table 9.4'!$K$6:$K$21</c:f>
              <c:numCache>
                <c:formatCode>General</c:formatCode>
                <c:ptCount val="16"/>
                <c:pt idx="0">
                  <c:v>2.5739137362637363</c:v>
                </c:pt>
                <c:pt idx="1">
                  <c:v>2.7739137362637365</c:v>
                </c:pt>
                <c:pt idx="2">
                  <c:v>2.9739137362637367</c:v>
                </c:pt>
                <c:pt idx="3">
                  <c:v>3.1739137362637369</c:v>
                </c:pt>
                <c:pt idx="4">
                  <c:v>3.3739137362637375</c:v>
                </c:pt>
                <c:pt idx="5">
                  <c:v>3.5739137362637372</c:v>
                </c:pt>
                <c:pt idx="6">
                  <c:v>3.7739137362637374</c:v>
                </c:pt>
                <c:pt idx="7">
                  <c:v>3.9739137362637376</c:v>
                </c:pt>
                <c:pt idx="8">
                  <c:v>4.1739137362637377</c:v>
                </c:pt>
                <c:pt idx="9">
                  <c:v>4.373913736263737</c:v>
                </c:pt>
                <c:pt idx="10">
                  <c:v>4.5739137362637381</c:v>
                </c:pt>
                <c:pt idx="11">
                  <c:v>4.7739137362637383</c:v>
                </c:pt>
                <c:pt idx="12">
                  <c:v>4.9739137362637384</c:v>
                </c:pt>
                <c:pt idx="13">
                  <c:v>5.1739137362637377</c:v>
                </c:pt>
                <c:pt idx="14">
                  <c:v>5.3739137362637388</c:v>
                </c:pt>
                <c:pt idx="15">
                  <c:v>5.573913736263739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8A-4A98-9890-43C80B409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0038303"/>
        <c:axId val="1960025407"/>
      </c:scatterChart>
      <c:valAx>
        <c:axId val="1547337407"/>
        <c:scaling>
          <c:orientation val="minMax"/>
          <c:max val="5"/>
          <c:min val="2.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18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inMax"/>
          <c:max val="8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47337407"/>
        <c:crosses val="autoZero"/>
        <c:crossBetween val="midCat"/>
      </c:valAx>
      <c:valAx>
        <c:axId val="1960025407"/>
        <c:scaling>
          <c:orientation val="minMax"/>
          <c:max val="180"/>
          <c:min val="40"/>
        </c:scaling>
        <c:delete val="0"/>
        <c:axPos val="r"/>
        <c:numFmt formatCode="General" sourceLinked="1"/>
        <c:majorTickMark val="out"/>
        <c:minorTickMark val="none"/>
        <c:tickLblPos val="nextTo"/>
        <c:crossAx val="1960038303"/>
        <c:crosses val="max"/>
        <c:crossBetween val="midCat"/>
      </c:valAx>
      <c:valAx>
        <c:axId val="1960038303"/>
        <c:scaling>
          <c:orientation val="minMax"/>
          <c:max val="116"/>
          <c:min val="61"/>
        </c:scaling>
        <c:delete val="0"/>
        <c:axPos val="t"/>
        <c:numFmt formatCode="0" sourceLinked="0"/>
        <c:majorTickMark val="out"/>
        <c:minorTickMark val="none"/>
        <c:tickLblPos val="nextTo"/>
        <c:crossAx val="1960025407"/>
        <c:crosses val="max"/>
        <c:crossBetween val="midCat"/>
        <c:majorUnit val="5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51243369842253"/>
          <c:y val="0.1351892759369395"/>
          <c:w val="0.83581869532272512"/>
          <c:h val="0.78956669498725573"/>
        </c:manualLayout>
      </c:layout>
      <c:lineChart>
        <c:grouping val="standard"/>
        <c:varyColors val="0"/>
        <c:ser>
          <c:idx val="0"/>
          <c:order val="0"/>
          <c:tx>
            <c:strRef>
              <c:f>'SI Table 9'!$F$4</c:f>
              <c:strCache>
                <c:ptCount val="1"/>
                <c:pt idx="0">
                  <c:v>No PTC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2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E7-4976-B5CE-BC6FA4DF8000}"/>
              </c:ext>
            </c:extLst>
          </c:dPt>
          <c:dPt>
            <c:idx val="3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E7-4976-B5CE-BC6FA4DF8000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E7-4976-B5CE-BC6FA4DF8000}"/>
              </c:ext>
            </c:extLst>
          </c:dPt>
          <c:dPt>
            <c:idx val="5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E7-4976-B5CE-BC6FA4DF8000}"/>
              </c:ext>
            </c:extLst>
          </c:dPt>
          <c:dPt>
            <c:idx val="6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E7-4976-B5CE-BC6FA4DF8000}"/>
              </c:ext>
            </c:extLst>
          </c:dPt>
          <c:dPt>
            <c:idx val="10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6E7-4976-B5CE-BC6FA4DF8000}"/>
              </c:ext>
            </c:extLst>
          </c:dPt>
          <c:dPt>
            <c:idx val="11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6E7-4976-B5CE-BC6FA4DF8000}"/>
              </c:ext>
            </c:extLst>
          </c:dPt>
          <c:cat>
            <c:numRef>
              <c:f>'SI Table 9'!$C$29:$C$44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9'!$G$6:$G$21</c:f>
              <c:numCache>
                <c:formatCode>General</c:formatCode>
                <c:ptCount val="16"/>
                <c:pt idx="0">
                  <c:v>2.8799278846153848</c:v>
                </c:pt>
                <c:pt idx="1">
                  <c:v>3.1299278846153848</c:v>
                </c:pt>
                <c:pt idx="2">
                  <c:v>3.3799278846153853</c:v>
                </c:pt>
                <c:pt idx="3">
                  <c:v>3.6299278846153857</c:v>
                </c:pt>
                <c:pt idx="4">
                  <c:v>3.8799278846153862</c:v>
                </c:pt>
                <c:pt idx="5">
                  <c:v>4.1299278846153857</c:v>
                </c:pt>
                <c:pt idx="6">
                  <c:v>4.3799278846153857</c:v>
                </c:pt>
                <c:pt idx="7">
                  <c:v>4.6299278846153857</c:v>
                </c:pt>
                <c:pt idx="8">
                  <c:v>4.8799278846153866</c:v>
                </c:pt>
                <c:pt idx="9">
                  <c:v>5.1299278846153857</c:v>
                </c:pt>
                <c:pt idx="10">
                  <c:v>5.3799278846153866</c:v>
                </c:pt>
                <c:pt idx="11">
                  <c:v>5.6299278846153866</c:v>
                </c:pt>
                <c:pt idx="12">
                  <c:v>5.8799278846153866</c:v>
                </c:pt>
                <c:pt idx="13">
                  <c:v>6.1299278846153866</c:v>
                </c:pt>
                <c:pt idx="14">
                  <c:v>6.3799278846153875</c:v>
                </c:pt>
                <c:pt idx="15">
                  <c:v>6.6299278846153875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6E7-4976-B5CE-BC6FA4DF8000}"/>
            </c:ext>
          </c:extLst>
        </c:ser>
        <c:ser>
          <c:idx val="2"/>
          <c:order val="1"/>
          <c:tx>
            <c:strRef>
              <c:f>'SI Table 9'!$H$4</c:f>
              <c:strCache>
                <c:ptCount val="1"/>
                <c:pt idx="0">
                  <c:v>$0.6/kg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C6E7-4976-B5CE-BC6FA4DF800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0-C6E7-4976-B5CE-BC6FA4DF800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C6E7-4976-B5CE-BC6FA4DF800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C6E7-4976-B5CE-BC6FA4DF8000}"/>
              </c:ext>
            </c:extLst>
          </c:dPt>
          <c:cat>
            <c:numRef>
              <c:f>'SI Table 9'!$C$29:$C$44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9'!$I$6:$I$21</c:f>
              <c:numCache>
                <c:formatCode>General</c:formatCode>
                <c:ptCount val="16"/>
                <c:pt idx="0">
                  <c:v>3.4799278846153849</c:v>
                </c:pt>
                <c:pt idx="1">
                  <c:v>3.7299278846153849</c:v>
                </c:pt>
                <c:pt idx="2">
                  <c:v>3.9799278846153854</c:v>
                </c:pt>
                <c:pt idx="3">
                  <c:v>4.2299278846153854</c:v>
                </c:pt>
                <c:pt idx="4">
                  <c:v>4.4799278846153863</c:v>
                </c:pt>
                <c:pt idx="5">
                  <c:v>4.7299278846153854</c:v>
                </c:pt>
                <c:pt idx="6">
                  <c:v>4.9799278846153854</c:v>
                </c:pt>
                <c:pt idx="7">
                  <c:v>5.2299278846153854</c:v>
                </c:pt>
                <c:pt idx="8">
                  <c:v>5.4799278846153863</c:v>
                </c:pt>
                <c:pt idx="9">
                  <c:v>5.7299278846153854</c:v>
                </c:pt>
                <c:pt idx="10">
                  <c:v>5.9799278846153863</c:v>
                </c:pt>
                <c:pt idx="11">
                  <c:v>6.2299278846153863</c:v>
                </c:pt>
                <c:pt idx="12">
                  <c:v>6.4799278846153863</c:v>
                </c:pt>
                <c:pt idx="13">
                  <c:v>6.7299278846153863</c:v>
                </c:pt>
                <c:pt idx="14">
                  <c:v>6.9799278846153872</c:v>
                </c:pt>
                <c:pt idx="15">
                  <c:v>7.2299278846153872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6E7-4976-B5CE-BC6FA4DF8000}"/>
            </c:ext>
          </c:extLst>
        </c:ser>
        <c:ser>
          <c:idx val="4"/>
          <c:order val="2"/>
          <c:tx>
            <c:strRef>
              <c:f>'SI Table 9'!$J$4</c:f>
              <c:strCache>
                <c:ptCount val="1"/>
                <c:pt idx="0">
                  <c:v>$0.75/kg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4-C6E7-4976-B5CE-BC6FA4DF800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5-C6E7-4976-B5CE-BC6FA4DF800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6-C6E7-4976-B5CE-BC6FA4DF800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7-C6E7-4976-B5CE-BC6FA4DF8000}"/>
              </c:ext>
            </c:extLst>
          </c:dPt>
          <c:cat>
            <c:numRef>
              <c:f>'SI Table 9'!$C$29:$C$44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9'!$K$6:$K$21</c:f>
              <c:numCache>
                <c:formatCode>General</c:formatCode>
                <c:ptCount val="16"/>
                <c:pt idx="0">
                  <c:v>3.6299278846153848</c:v>
                </c:pt>
                <c:pt idx="1">
                  <c:v>3.8799278846153848</c:v>
                </c:pt>
                <c:pt idx="2">
                  <c:v>4.1299278846153857</c:v>
                </c:pt>
                <c:pt idx="3">
                  <c:v>4.3799278846153857</c:v>
                </c:pt>
                <c:pt idx="4">
                  <c:v>4.6299278846153857</c:v>
                </c:pt>
                <c:pt idx="5">
                  <c:v>4.8799278846153857</c:v>
                </c:pt>
                <c:pt idx="6">
                  <c:v>5.1299278846153857</c:v>
                </c:pt>
                <c:pt idx="7">
                  <c:v>5.3799278846153857</c:v>
                </c:pt>
                <c:pt idx="8">
                  <c:v>5.6299278846153866</c:v>
                </c:pt>
                <c:pt idx="9">
                  <c:v>5.8799278846153857</c:v>
                </c:pt>
                <c:pt idx="10">
                  <c:v>6.1299278846153866</c:v>
                </c:pt>
                <c:pt idx="11">
                  <c:v>6.3799278846153866</c:v>
                </c:pt>
                <c:pt idx="12">
                  <c:v>6.6299278846153866</c:v>
                </c:pt>
                <c:pt idx="13">
                  <c:v>6.8799278846153866</c:v>
                </c:pt>
                <c:pt idx="14">
                  <c:v>7.1299278846153875</c:v>
                </c:pt>
                <c:pt idx="15">
                  <c:v>7.3799278846153875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6E7-4976-B5CE-BC6FA4DF8000}"/>
            </c:ext>
          </c:extLst>
        </c:ser>
        <c:ser>
          <c:idx val="6"/>
          <c:order val="3"/>
          <c:tx>
            <c:strRef>
              <c:f>'SI Table 9'!$L$4</c:f>
              <c:strCache>
                <c:ptCount val="1"/>
                <c:pt idx="0">
                  <c:v>$1.002/kg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9-C6E7-4976-B5CE-BC6FA4DF800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A-C6E7-4976-B5CE-BC6FA4DF800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B-C6E7-4976-B5CE-BC6FA4DF800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C-C6E7-4976-B5CE-BC6FA4DF8000}"/>
              </c:ext>
            </c:extLst>
          </c:dPt>
          <c:cat>
            <c:numRef>
              <c:f>'SI Table 9'!$C$29:$C$44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9'!$M$6:$M$21</c:f>
              <c:numCache>
                <c:formatCode>General</c:formatCode>
                <c:ptCount val="16"/>
                <c:pt idx="0">
                  <c:v>3.8819278846153846</c:v>
                </c:pt>
                <c:pt idx="1">
                  <c:v>4.1319278846153846</c:v>
                </c:pt>
                <c:pt idx="2">
                  <c:v>4.3819278846153855</c:v>
                </c:pt>
                <c:pt idx="3">
                  <c:v>4.6319278846153855</c:v>
                </c:pt>
                <c:pt idx="4">
                  <c:v>4.8819278846153864</c:v>
                </c:pt>
                <c:pt idx="5">
                  <c:v>5.1319278846153855</c:v>
                </c:pt>
                <c:pt idx="6">
                  <c:v>5.3819278846153855</c:v>
                </c:pt>
                <c:pt idx="7">
                  <c:v>5.6319278846153855</c:v>
                </c:pt>
                <c:pt idx="8">
                  <c:v>5.8819278846153864</c:v>
                </c:pt>
                <c:pt idx="9">
                  <c:v>6.1319278846153855</c:v>
                </c:pt>
                <c:pt idx="10">
                  <c:v>6.3819278846153864</c:v>
                </c:pt>
                <c:pt idx="11">
                  <c:v>6.6319278846153864</c:v>
                </c:pt>
                <c:pt idx="12">
                  <c:v>6.8819278846153864</c:v>
                </c:pt>
                <c:pt idx="13">
                  <c:v>7.1319278846153864</c:v>
                </c:pt>
                <c:pt idx="14">
                  <c:v>7.3819278846153873</c:v>
                </c:pt>
                <c:pt idx="15">
                  <c:v>7.6319278846153873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6E7-4976-B5CE-BC6FA4DF8000}"/>
            </c:ext>
          </c:extLst>
        </c:ser>
        <c:ser>
          <c:idx val="8"/>
          <c:order val="4"/>
          <c:tx>
            <c:strRef>
              <c:f>'SI Table 9'!$N$4</c:f>
              <c:strCache>
                <c:ptCount val="1"/>
                <c:pt idx="0">
                  <c:v>$3/kg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E-C6E7-4976-B5CE-BC6FA4DF800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F-C6E7-4976-B5CE-BC6FA4DF800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0-C6E7-4976-B5CE-BC6FA4DF800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1-C6E7-4976-B5CE-BC6FA4DF8000}"/>
              </c:ext>
            </c:extLst>
          </c:dPt>
          <c:cat>
            <c:numRef>
              <c:f>'SI Table 9'!$C$29:$C$44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9'!$O$6:$O$21</c:f>
              <c:numCache>
                <c:formatCode>General</c:formatCode>
                <c:ptCount val="16"/>
                <c:pt idx="0">
                  <c:v>5.8799278846153848</c:v>
                </c:pt>
                <c:pt idx="1">
                  <c:v>6.1299278846153848</c:v>
                </c:pt>
                <c:pt idx="2">
                  <c:v>6.3799278846153857</c:v>
                </c:pt>
                <c:pt idx="3">
                  <c:v>6.6299278846153857</c:v>
                </c:pt>
                <c:pt idx="4">
                  <c:v>6.8799278846153857</c:v>
                </c:pt>
                <c:pt idx="5">
                  <c:v>7.1299278846153857</c:v>
                </c:pt>
                <c:pt idx="6">
                  <c:v>7.3799278846153857</c:v>
                </c:pt>
                <c:pt idx="7">
                  <c:v>7.6299278846153857</c:v>
                </c:pt>
                <c:pt idx="8">
                  <c:v>7.8799278846153866</c:v>
                </c:pt>
                <c:pt idx="9">
                  <c:v>8.1299278846153857</c:v>
                </c:pt>
                <c:pt idx="10">
                  <c:v>8.3799278846153875</c:v>
                </c:pt>
                <c:pt idx="11">
                  <c:v>8.6299278846153875</c:v>
                </c:pt>
                <c:pt idx="12">
                  <c:v>8.8799278846153875</c:v>
                </c:pt>
                <c:pt idx="13">
                  <c:v>9.1299278846153875</c:v>
                </c:pt>
                <c:pt idx="14">
                  <c:v>9.3799278846153875</c:v>
                </c:pt>
                <c:pt idx="15">
                  <c:v>9.6299278846153875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C6E7-4976-B5CE-BC6FA4DF8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337407"/>
        <c:axId val="1"/>
      </c:lineChart>
      <c:lineChart>
        <c:grouping val="standard"/>
        <c:varyColors val="0"/>
        <c:ser>
          <c:idx val="10"/>
          <c:order val="5"/>
          <c:tx>
            <c:strRef>
              <c:f>'SI Table 9'!$F$4</c:f>
              <c:strCache>
                <c:ptCount val="1"/>
                <c:pt idx="0">
                  <c:v>No PTC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'SI Table 9'!$E$29:$E$44</c:f>
              <c:numCache>
                <c:formatCode>0.0</c:formatCode>
                <c:ptCount val="16"/>
                <c:pt idx="0">
                  <c:v>54.153068696493314</c:v>
                </c:pt>
                <c:pt idx="1">
                  <c:v>58.853973620691221</c:v>
                </c:pt>
                <c:pt idx="2">
                  <c:v>63.554878544889128</c:v>
                </c:pt>
                <c:pt idx="3">
                  <c:v>68.255783469087049</c:v>
                </c:pt>
                <c:pt idx="4">
                  <c:v>72.956688393284963</c:v>
                </c:pt>
                <c:pt idx="5">
                  <c:v>77.657593317482863</c:v>
                </c:pt>
                <c:pt idx="6">
                  <c:v>82.358498241680792</c:v>
                </c:pt>
                <c:pt idx="7">
                  <c:v>87.059403165878692</c:v>
                </c:pt>
                <c:pt idx="8">
                  <c:v>91.760308090076606</c:v>
                </c:pt>
                <c:pt idx="9">
                  <c:v>96.461213014274492</c:v>
                </c:pt>
                <c:pt idx="10">
                  <c:v>101.16211793847242</c:v>
                </c:pt>
                <c:pt idx="11">
                  <c:v>105.86302286267033</c:v>
                </c:pt>
                <c:pt idx="12">
                  <c:v>110.56392778686825</c:v>
                </c:pt>
                <c:pt idx="13">
                  <c:v>115.26483271106616</c:v>
                </c:pt>
                <c:pt idx="14">
                  <c:v>119.96573763526409</c:v>
                </c:pt>
                <c:pt idx="15">
                  <c:v>124.66664255946198</c:v>
                </c:pt>
              </c:numCache>
            </c:numRef>
          </c:cat>
          <c:val>
            <c:numRef>
              <c:f>'SI Table 9'!$G$6:$G$21</c:f>
              <c:numCache>
                <c:formatCode>General</c:formatCode>
                <c:ptCount val="16"/>
                <c:pt idx="0">
                  <c:v>2.8799278846153848</c:v>
                </c:pt>
                <c:pt idx="1">
                  <c:v>3.1299278846153848</c:v>
                </c:pt>
                <c:pt idx="2">
                  <c:v>3.3799278846153853</c:v>
                </c:pt>
                <c:pt idx="3">
                  <c:v>3.6299278846153857</c:v>
                </c:pt>
                <c:pt idx="4">
                  <c:v>3.8799278846153862</c:v>
                </c:pt>
                <c:pt idx="5">
                  <c:v>4.1299278846153857</c:v>
                </c:pt>
                <c:pt idx="6">
                  <c:v>4.3799278846153857</c:v>
                </c:pt>
                <c:pt idx="7">
                  <c:v>4.6299278846153857</c:v>
                </c:pt>
                <c:pt idx="8">
                  <c:v>4.8799278846153866</c:v>
                </c:pt>
                <c:pt idx="9">
                  <c:v>5.1299278846153857</c:v>
                </c:pt>
                <c:pt idx="10">
                  <c:v>5.3799278846153866</c:v>
                </c:pt>
                <c:pt idx="11">
                  <c:v>5.6299278846153866</c:v>
                </c:pt>
                <c:pt idx="12">
                  <c:v>5.8799278846153866</c:v>
                </c:pt>
                <c:pt idx="13">
                  <c:v>6.1299278846153866</c:v>
                </c:pt>
                <c:pt idx="14">
                  <c:v>6.3799278846153875</c:v>
                </c:pt>
                <c:pt idx="15">
                  <c:v>6.6299278846153875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C6E7-4976-B5CE-BC6FA4DF8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47337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18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Break-even hydrogen price, $/kg H </a:t>
                </a:r>
                <a:r>
                  <a:rPr lang="en-US" sz="1400" b="1" i="0" u="none" strike="noStrike" baseline="-2500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47337407"/>
        <c:crosses val="autoZero"/>
        <c:crossBetween val="midCat"/>
        <c:majorUnit val="0.5"/>
        <c:minorUnit val="0.2"/>
      </c:valAx>
      <c:catAx>
        <c:axId val="3"/>
        <c:scaling>
          <c:orientation val="minMax"/>
        </c:scaling>
        <c:delete val="0"/>
        <c:axPos val="t"/>
        <c:numFmt formatCode="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"/>
        <c:crosses val="max"/>
        <c:auto val="1"/>
        <c:lblAlgn val="ctr"/>
        <c:lblOffset val="0"/>
        <c:noMultiLvlLbl val="0"/>
      </c:catAx>
      <c:valAx>
        <c:axId val="4"/>
        <c:scaling>
          <c:orientation val="minMax"/>
          <c:max val="15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  <c:majorUnit val="15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78048052653173"/>
          <c:y val="8.7296516941467506E-2"/>
          <c:w val="0.77455057879532652"/>
          <c:h val="0.81210436930677787"/>
        </c:manualLayout>
      </c:layout>
      <c:lineChart>
        <c:grouping val="standard"/>
        <c:varyColors val="0"/>
        <c:ser>
          <c:idx val="0"/>
          <c:order val="0"/>
          <c:tx>
            <c:strRef>
              <c:f>'SI Table 9.1'!$F$4</c:f>
              <c:strCache>
                <c:ptCount val="1"/>
                <c:pt idx="0">
                  <c:v>No PTC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2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7F-47D4-9170-BE44FC4FA9C2}"/>
              </c:ext>
            </c:extLst>
          </c:dPt>
          <c:dPt>
            <c:idx val="3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7F-47D4-9170-BE44FC4FA9C2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7F-47D4-9170-BE44FC4FA9C2}"/>
              </c:ext>
            </c:extLst>
          </c:dPt>
          <c:dPt>
            <c:idx val="5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7F-47D4-9170-BE44FC4FA9C2}"/>
              </c:ext>
            </c:extLst>
          </c:dPt>
          <c:dPt>
            <c:idx val="6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7F-47D4-9170-BE44FC4FA9C2}"/>
              </c:ext>
            </c:extLst>
          </c:dPt>
          <c:dPt>
            <c:idx val="10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7F-47D4-9170-BE44FC4FA9C2}"/>
              </c:ext>
            </c:extLst>
          </c:dPt>
          <c:dPt>
            <c:idx val="11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7F-47D4-9170-BE44FC4FA9C2}"/>
              </c:ext>
            </c:extLst>
          </c:dPt>
          <c:cat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9.1'!$G$6:$G$21</c:f>
              <c:numCache>
                <c:formatCode>General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3.1039423076923089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3.7039423076923086</c:v>
                </c:pt>
                <c:pt idx="8">
                  <c:v>3.9039423076923097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E7F-47D4-9170-BE44FC4FA9C2}"/>
            </c:ext>
          </c:extLst>
        </c:ser>
        <c:ser>
          <c:idx val="2"/>
          <c:order val="1"/>
          <c:tx>
            <c:strRef>
              <c:f>'SI Table 9.1'!$H$4</c:f>
              <c:strCache>
                <c:ptCount val="1"/>
                <c:pt idx="0">
                  <c:v>$0.6/kg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AE7F-47D4-9170-BE44FC4FA9C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0-AE7F-47D4-9170-BE44FC4FA9C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AE7F-47D4-9170-BE44FC4FA9C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AE7F-47D4-9170-BE44FC4FA9C2}"/>
              </c:ext>
            </c:extLst>
          </c:dPt>
          <c:cat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9.1'!$I$6:$I$21</c:f>
              <c:numCache>
                <c:formatCode>General</c:formatCode>
                <c:ptCount val="16"/>
                <c:pt idx="0">
                  <c:v>2.9039423076923079</c:v>
                </c:pt>
                <c:pt idx="1">
                  <c:v>3.1039423076923081</c:v>
                </c:pt>
                <c:pt idx="2">
                  <c:v>3.3039423076923082</c:v>
                </c:pt>
                <c:pt idx="3">
                  <c:v>3.5039423076923084</c:v>
                </c:pt>
                <c:pt idx="4">
                  <c:v>3.703942307692309</c:v>
                </c:pt>
                <c:pt idx="5">
                  <c:v>3.9039423076923088</c:v>
                </c:pt>
                <c:pt idx="6">
                  <c:v>4.1039423076923089</c:v>
                </c:pt>
                <c:pt idx="7">
                  <c:v>4.3039423076923082</c:v>
                </c:pt>
                <c:pt idx="8">
                  <c:v>4.5039423076923093</c:v>
                </c:pt>
                <c:pt idx="9">
                  <c:v>4.7039423076923086</c:v>
                </c:pt>
                <c:pt idx="10">
                  <c:v>4.9039423076923088</c:v>
                </c:pt>
                <c:pt idx="11">
                  <c:v>5.1039423076923089</c:v>
                </c:pt>
                <c:pt idx="12">
                  <c:v>5.3039423076923091</c:v>
                </c:pt>
                <c:pt idx="13">
                  <c:v>5.5039423076923093</c:v>
                </c:pt>
                <c:pt idx="14">
                  <c:v>5.7039423076923095</c:v>
                </c:pt>
                <c:pt idx="15">
                  <c:v>5.9039423076923097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E7F-47D4-9170-BE44FC4FA9C2}"/>
            </c:ext>
          </c:extLst>
        </c:ser>
        <c:ser>
          <c:idx val="4"/>
          <c:order val="2"/>
          <c:tx>
            <c:strRef>
              <c:f>'SI Table 9.1'!$J$4</c:f>
              <c:strCache>
                <c:ptCount val="1"/>
                <c:pt idx="0">
                  <c:v>$0.75/kg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4-AE7F-47D4-9170-BE44FC4FA9C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5-AE7F-47D4-9170-BE44FC4FA9C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6-AE7F-47D4-9170-BE44FC4FA9C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7-AE7F-47D4-9170-BE44FC4FA9C2}"/>
              </c:ext>
            </c:extLst>
          </c:dPt>
          <c:cat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9.1'!$K$6:$K$21</c:f>
              <c:numCache>
                <c:formatCode>General</c:formatCode>
                <c:ptCount val="16"/>
                <c:pt idx="0">
                  <c:v>3.0539423076923078</c:v>
                </c:pt>
                <c:pt idx="1">
                  <c:v>3.253942307692308</c:v>
                </c:pt>
                <c:pt idx="2">
                  <c:v>3.4539423076923081</c:v>
                </c:pt>
                <c:pt idx="3">
                  <c:v>3.6539423076923083</c:v>
                </c:pt>
                <c:pt idx="4">
                  <c:v>3.8539423076923089</c:v>
                </c:pt>
                <c:pt idx="5">
                  <c:v>4.0539423076923082</c:v>
                </c:pt>
                <c:pt idx="6">
                  <c:v>4.2539423076923093</c:v>
                </c:pt>
                <c:pt idx="7">
                  <c:v>4.4539423076923086</c:v>
                </c:pt>
                <c:pt idx="8">
                  <c:v>4.6539423076923097</c:v>
                </c:pt>
                <c:pt idx="9">
                  <c:v>4.8539423076923089</c:v>
                </c:pt>
                <c:pt idx="10">
                  <c:v>5.0539423076923091</c:v>
                </c:pt>
                <c:pt idx="11">
                  <c:v>5.2539423076923093</c:v>
                </c:pt>
                <c:pt idx="12">
                  <c:v>5.4539423076923095</c:v>
                </c:pt>
                <c:pt idx="13">
                  <c:v>5.6539423076923097</c:v>
                </c:pt>
                <c:pt idx="14">
                  <c:v>5.8539423076923098</c:v>
                </c:pt>
                <c:pt idx="15">
                  <c:v>6.05394230769231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E7F-47D4-9170-BE44FC4FA9C2}"/>
            </c:ext>
          </c:extLst>
        </c:ser>
        <c:ser>
          <c:idx val="6"/>
          <c:order val="3"/>
          <c:tx>
            <c:strRef>
              <c:f>'SI Table 9.1'!$L$4</c:f>
              <c:strCache>
                <c:ptCount val="1"/>
                <c:pt idx="0">
                  <c:v>$1.002/kg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9-AE7F-47D4-9170-BE44FC4FA9C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A-AE7F-47D4-9170-BE44FC4FA9C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B-AE7F-47D4-9170-BE44FC4FA9C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C-AE7F-47D4-9170-BE44FC4FA9C2}"/>
              </c:ext>
            </c:extLst>
          </c:dPt>
          <c:cat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9.1'!$M$6:$M$21</c:f>
              <c:numCache>
                <c:formatCode>General</c:formatCode>
                <c:ptCount val="16"/>
                <c:pt idx="0">
                  <c:v>3.305942307692308</c:v>
                </c:pt>
                <c:pt idx="1">
                  <c:v>3.5059423076923082</c:v>
                </c:pt>
                <c:pt idx="2">
                  <c:v>3.7059423076923084</c:v>
                </c:pt>
                <c:pt idx="3">
                  <c:v>3.9059423076923085</c:v>
                </c:pt>
                <c:pt idx="4">
                  <c:v>4.1059423076923087</c:v>
                </c:pt>
                <c:pt idx="5">
                  <c:v>4.3059423076923089</c:v>
                </c:pt>
                <c:pt idx="6">
                  <c:v>4.5059423076923091</c:v>
                </c:pt>
                <c:pt idx="7">
                  <c:v>4.7059423076923084</c:v>
                </c:pt>
                <c:pt idx="8">
                  <c:v>4.9059423076923094</c:v>
                </c:pt>
                <c:pt idx="9">
                  <c:v>5.1059423076923087</c:v>
                </c:pt>
                <c:pt idx="10">
                  <c:v>5.3059423076923089</c:v>
                </c:pt>
                <c:pt idx="11">
                  <c:v>5.5059423076923091</c:v>
                </c:pt>
                <c:pt idx="12">
                  <c:v>5.7059423076923093</c:v>
                </c:pt>
                <c:pt idx="13">
                  <c:v>5.9059423076923094</c:v>
                </c:pt>
                <c:pt idx="14">
                  <c:v>6.1059423076923096</c:v>
                </c:pt>
                <c:pt idx="15">
                  <c:v>6.3059423076923098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E7F-47D4-9170-BE44FC4FA9C2}"/>
            </c:ext>
          </c:extLst>
        </c:ser>
        <c:ser>
          <c:idx val="8"/>
          <c:order val="4"/>
          <c:tx>
            <c:strRef>
              <c:f>'SI Table 9.1'!$N$4</c:f>
              <c:strCache>
                <c:ptCount val="1"/>
                <c:pt idx="0">
                  <c:v>$3/kg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E-AE7F-47D4-9170-BE44FC4FA9C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F-AE7F-47D4-9170-BE44FC4FA9C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0-AE7F-47D4-9170-BE44FC4FA9C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1-AE7F-47D4-9170-BE44FC4FA9C2}"/>
              </c:ext>
            </c:extLst>
          </c:dPt>
          <c:cat>
            <c:numRef>
              <c:f>'SI Table 9.1'!$C$29:$C$44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9.1'!$O$6:$O$21</c:f>
              <c:numCache>
                <c:formatCode>General</c:formatCode>
                <c:ptCount val="16"/>
                <c:pt idx="0">
                  <c:v>5.3039423076923082</c:v>
                </c:pt>
                <c:pt idx="1">
                  <c:v>5.5039423076923075</c:v>
                </c:pt>
                <c:pt idx="2">
                  <c:v>5.7039423076923086</c:v>
                </c:pt>
                <c:pt idx="3">
                  <c:v>5.9039423076923079</c:v>
                </c:pt>
                <c:pt idx="4">
                  <c:v>6.1039423076923089</c:v>
                </c:pt>
                <c:pt idx="5">
                  <c:v>6.3039423076923082</c:v>
                </c:pt>
                <c:pt idx="6">
                  <c:v>6.5039423076923093</c:v>
                </c:pt>
                <c:pt idx="7">
                  <c:v>6.7039423076923086</c:v>
                </c:pt>
                <c:pt idx="8">
                  <c:v>6.9039423076923097</c:v>
                </c:pt>
                <c:pt idx="9">
                  <c:v>7.1039423076923089</c:v>
                </c:pt>
                <c:pt idx="10">
                  <c:v>7.3039423076923091</c:v>
                </c:pt>
                <c:pt idx="11">
                  <c:v>7.5039423076923093</c:v>
                </c:pt>
                <c:pt idx="12">
                  <c:v>7.7039423076923095</c:v>
                </c:pt>
                <c:pt idx="13">
                  <c:v>7.9039423076923097</c:v>
                </c:pt>
                <c:pt idx="14">
                  <c:v>8.1039423076923107</c:v>
                </c:pt>
                <c:pt idx="15">
                  <c:v>8.30394230769231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AE7F-47D4-9170-BE44FC4F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717855"/>
        <c:axId val="1"/>
      </c:lineChart>
      <c:lineChart>
        <c:grouping val="standard"/>
        <c:varyColors val="0"/>
        <c:ser>
          <c:idx val="10"/>
          <c:order val="5"/>
          <c:tx>
            <c:strRef>
              <c:f>'SI Table 9.1'!$F$4</c:f>
              <c:strCache>
                <c:ptCount val="1"/>
                <c:pt idx="0">
                  <c:v>No PTC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'SI Table 9.1'!$E$29:$E$44</c:f>
              <c:numCache>
                <c:formatCode>0.0</c:formatCode>
                <c:ptCount val="16"/>
                <c:pt idx="0">
                  <c:v>54.153068696493314</c:v>
                </c:pt>
                <c:pt idx="1">
                  <c:v>58.853973620691221</c:v>
                </c:pt>
                <c:pt idx="2">
                  <c:v>63.554878544889128</c:v>
                </c:pt>
                <c:pt idx="3">
                  <c:v>68.255783469087049</c:v>
                </c:pt>
                <c:pt idx="4">
                  <c:v>72.956688393284963</c:v>
                </c:pt>
                <c:pt idx="5">
                  <c:v>77.657593317482863</c:v>
                </c:pt>
                <c:pt idx="6">
                  <c:v>82.358498241680792</c:v>
                </c:pt>
                <c:pt idx="7">
                  <c:v>87.059403165878692</c:v>
                </c:pt>
                <c:pt idx="8">
                  <c:v>91.760308090076606</c:v>
                </c:pt>
                <c:pt idx="9">
                  <c:v>96.461213014274492</c:v>
                </c:pt>
                <c:pt idx="10">
                  <c:v>101.16211793847242</c:v>
                </c:pt>
                <c:pt idx="11">
                  <c:v>105.86302286267033</c:v>
                </c:pt>
                <c:pt idx="12">
                  <c:v>110.56392778686825</c:v>
                </c:pt>
                <c:pt idx="13">
                  <c:v>115.26483271106616</c:v>
                </c:pt>
                <c:pt idx="14">
                  <c:v>119.96573763526409</c:v>
                </c:pt>
                <c:pt idx="15">
                  <c:v>124.66664255946198</c:v>
                </c:pt>
              </c:numCache>
            </c:numRef>
          </c:cat>
          <c:val>
            <c:numRef>
              <c:f>'SI Table 9.1'!$G$6:$G$21</c:f>
              <c:numCache>
                <c:formatCode>General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3.1039423076923089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3.7039423076923086</c:v>
                </c:pt>
                <c:pt idx="8">
                  <c:v>3.9039423076923097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E7F-47D4-9170-BE44FC4F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87717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18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Break-even hydrogen production cost, $/kg H</a:t>
                </a:r>
                <a:r>
                  <a:rPr lang="en-US" sz="1400" b="1" i="0" u="none" strike="noStrike" baseline="-2500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5.9869464986078265E-2"/>
              <c:y val="0.11907513679434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7717855"/>
        <c:crosses val="autoZero"/>
        <c:crossBetween val="midCat"/>
      </c:valAx>
      <c:catAx>
        <c:axId val="3"/>
        <c:scaling>
          <c:orientation val="minMax"/>
        </c:scaling>
        <c:delete val="0"/>
        <c:axPos val="t"/>
        <c:numFmt formatCode="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"/>
        <c:crosses val="max"/>
        <c:auto val="1"/>
        <c:lblAlgn val="ctr"/>
        <c:lblOffset val="0"/>
        <c:noMultiLvlLbl val="0"/>
      </c:catAx>
      <c:valAx>
        <c:axId val="4"/>
        <c:scaling>
          <c:orientation val="minMax"/>
          <c:max val="15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  <c:majorUnit val="15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78048052653173"/>
          <c:y val="8.7296516941467506E-2"/>
          <c:w val="0.77455057879532652"/>
          <c:h val="0.81210436930677787"/>
        </c:manualLayout>
      </c:layout>
      <c:lineChart>
        <c:grouping val="standard"/>
        <c:varyColors val="0"/>
        <c:ser>
          <c:idx val="0"/>
          <c:order val="0"/>
          <c:tx>
            <c:strRef>
              <c:f>'SI Table 9.2'!$F$4</c:f>
              <c:strCache>
                <c:ptCount val="1"/>
                <c:pt idx="0">
                  <c:v>No PTC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2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B7-4398-9AAE-23E1C92E78F5}"/>
              </c:ext>
            </c:extLst>
          </c:dPt>
          <c:dPt>
            <c:idx val="3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B7-4398-9AAE-23E1C92E78F5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B7-4398-9AAE-23E1C92E78F5}"/>
              </c:ext>
            </c:extLst>
          </c:dPt>
          <c:dPt>
            <c:idx val="5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B7-4398-9AAE-23E1C92E78F5}"/>
              </c:ext>
            </c:extLst>
          </c:dPt>
          <c:dPt>
            <c:idx val="6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B7-4398-9AAE-23E1C92E78F5}"/>
              </c:ext>
            </c:extLst>
          </c:dPt>
          <c:dPt>
            <c:idx val="10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B7-4398-9AAE-23E1C92E78F5}"/>
              </c:ext>
            </c:extLst>
          </c:dPt>
          <c:dPt>
            <c:idx val="11"/>
            <c:bubble3D val="0"/>
            <c:spPr>
              <a:ln w="19050" cap="rnd">
                <a:solidFill>
                  <a:schemeClr val="tx1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B7-4398-9AAE-23E1C92E78F5}"/>
              </c:ext>
            </c:extLst>
          </c:dPt>
          <c:cat>
            <c:numRef>
              <c:f>'SI Table 9.2'!$C$29:$C$44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9.2'!$G$6:$G$21</c:f>
              <c:numCache>
                <c:formatCode>General</c:formatCode>
                <c:ptCount val="16"/>
                <c:pt idx="0">
                  <c:v>1.9199519230769231</c:v>
                </c:pt>
                <c:pt idx="1">
                  <c:v>2.08661858974359</c:v>
                </c:pt>
                <c:pt idx="2">
                  <c:v>2.2532852564102566</c:v>
                </c:pt>
                <c:pt idx="3">
                  <c:v>2.4199519230769235</c:v>
                </c:pt>
                <c:pt idx="4">
                  <c:v>2.5866185897435905</c:v>
                </c:pt>
                <c:pt idx="5">
                  <c:v>2.7532852564102575</c:v>
                </c:pt>
                <c:pt idx="6">
                  <c:v>2.919951923076924</c:v>
                </c:pt>
                <c:pt idx="7">
                  <c:v>3.0866185897435905</c:v>
                </c:pt>
                <c:pt idx="8">
                  <c:v>3.2532852564102579</c:v>
                </c:pt>
                <c:pt idx="9">
                  <c:v>3.419951923076924</c:v>
                </c:pt>
                <c:pt idx="10">
                  <c:v>3.5866185897435914</c:v>
                </c:pt>
                <c:pt idx="11">
                  <c:v>3.7532852564102579</c:v>
                </c:pt>
                <c:pt idx="12">
                  <c:v>3.9199519230769244</c:v>
                </c:pt>
                <c:pt idx="13">
                  <c:v>4.0866185897435914</c:v>
                </c:pt>
                <c:pt idx="14">
                  <c:v>4.2532852564102583</c:v>
                </c:pt>
                <c:pt idx="15">
                  <c:v>4.4199519230769253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1B7-4398-9AAE-23E1C92E78F5}"/>
            </c:ext>
          </c:extLst>
        </c:ser>
        <c:ser>
          <c:idx val="2"/>
          <c:order val="1"/>
          <c:tx>
            <c:strRef>
              <c:f>'SI Table 9.2'!$H$4</c:f>
              <c:strCache>
                <c:ptCount val="1"/>
                <c:pt idx="0">
                  <c:v>$0.6/kg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F-11B7-4398-9AAE-23E1C92E78F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0-11B7-4398-9AAE-23E1C92E78F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11B7-4398-9AAE-23E1C92E78F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11B7-4398-9AAE-23E1C92E78F5}"/>
              </c:ext>
            </c:extLst>
          </c:dPt>
          <c:cat>
            <c:numRef>
              <c:f>'SI Table 9.2'!$C$29:$C$44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9.2'!$I$6:$I$21</c:f>
              <c:numCache>
                <c:formatCode>General</c:formatCode>
                <c:ptCount val="16"/>
                <c:pt idx="0">
                  <c:v>2.5199519230769232</c:v>
                </c:pt>
                <c:pt idx="1">
                  <c:v>2.6866185897435901</c:v>
                </c:pt>
                <c:pt idx="2">
                  <c:v>2.8532852564102567</c:v>
                </c:pt>
                <c:pt idx="3">
                  <c:v>3.0199519230769236</c:v>
                </c:pt>
                <c:pt idx="4">
                  <c:v>3.1866185897435906</c:v>
                </c:pt>
                <c:pt idx="5">
                  <c:v>3.3532852564102575</c:v>
                </c:pt>
                <c:pt idx="6">
                  <c:v>3.5199519230769241</c:v>
                </c:pt>
                <c:pt idx="7">
                  <c:v>3.6866185897435906</c:v>
                </c:pt>
                <c:pt idx="8">
                  <c:v>3.853285256410258</c:v>
                </c:pt>
                <c:pt idx="9">
                  <c:v>4.0199519230769241</c:v>
                </c:pt>
                <c:pt idx="10">
                  <c:v>4.186618589743591</c:v>
                </c:pt>
                <c:pt idx="11">
                  <c:v>4.353285256410258</c:v>
                </c:pt>
                <c:pt idx="12">
                  <c:v>4.5199519230769241</c:v>
                </c:pt>
                <c:pt idx="13">
                  <c:v>4.686618589743591</c:v>
                </c:pt>
                <c:pt idx="14">
                  <c:v>4.853285256410258</c:v>
                </c:pt>
                <c:pt idx="15">
                  <c:v>5.0199519230769249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1B7-4398-9AAE-23E1C92E78F5}"/>
            </c:ext>
          </c:extLst>
        </c:ser>
        <c:ser>
          <c:idx val="4"/>
          <c:order val="2"/>
          <c:tx>
            <c:strRef>
              <c:f>'SI Table 9.2'!$J$4</c:f>
              <c:strCache>
                <c:ptCount val="1"/>
                <c:pt idx="0">
                  <c:v>$0.75/kg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4-11B7-4398-9AAE-23E1C92E78F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5-11B7-4398-9AAE-23E1C92E78F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6-11B7-4398-9AAE-23E1C92E78F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7-11B7-4398-9AAE-23E1C92E78F5}"/>
              </c:ext>
            </c:extLst>
          </c:dPt>
          <c:cat>
            <c:numRef>
              <c:f>'SI Table 9.2'!$C$29:$C$44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9.2'!$K$6:$K$21</c:f>
              <c:numCache>
                <c:formatCode>General</c:formatCode>
                <c:ptCount val="16"/>
                <c:pt idx="0">
                  <c:v>2.6699519230769231</c:v>
                </c:pt>
                <c:pt idx="1">
                  <c:v>2.83661858974359</c:v>
                </c:pt>
                <c:pt idx="2">
                  <c:v>3.0032852564102566</c:v>
                </c:pt>
                <c:pt idx="3">
                  <c:v>3.1699519230769235</c:v>
                </c:pt>
                <c:pt idx="4">
                  <c:v>3.3366185897435905</c:v>
                </c:pt>
                <c:pt idx="5">
                  <c:v>3.5032852564102575</c:v>
                </c:pt>
                <c:pt idx="6">
                  <c:v>3.669951923076924</c:v>
                </c:pt>
                <c:pt idx="7">
                  <c:v>3.8366185897435905</c:v>
                </c:pt>
                <c:pt idx="8">
                  <c:v>4.0032852564102583</c:v>
                </c:pt>
                <c:pt idx="9">
                  <c:v>4.1699519230769244</c:v>
                </c:pt>
                <c:pt idx="10">
                  <c:v>4.3366185897435914</c:v>
                </c:pt>
                <c:pt idx="11">
                  <c:v>4.5032852564102583</c:v>
                </c:pt>
                <c:pt idx="12">
                  <c:v>4.6699519230769244</c:v>
                </c:pt>
                <c:pt idx="13">
                  <c:v>4.8366185897435914</c:v>
                </c:pt>
                <c:pt idx="14">
                  <c:v>5.0032852564102583</c:v>
                </c:pt>
                <c:pt idx="15">
                  <c:v>5.1699519230769253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1B7-4398-9AAE-23E1C92E78F5}"/>
            </c:ext>
          </c:extLst>
        </c:ser>
        <c:ser>
          <c:idx val="6"/>
          <c:order val="3"/>
          <c:tx>
            <c:strRef>
              <c:f>'SI Table 9.2'!$L$4</c:f>
              <c:strCache>
                <c:ptCount val="1"/>
                <c:pt idx="0">
                  <c:v>$1.002/kg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9-11B7-4398-9AAE-23E1C92E78F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A-11B7-4398-9AAE-23E1C92E78F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B-11B7-4398-9AAE-23E1C92E78F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C-11B7-4398-9AAE-23E1C92E78F5}"/>
              </c:ext>
            </c:extLst>
          </c:dPt>
          <c:cat>
            <c:numRef>
              <c:f>'SI Table 9.2'!$C$29:$C$44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9.2'!$M$6:$M$21</c:f>
              <c:numCache>
                <c:formatCode>General</c:formatCode>
                <c:ptCount val="16"/>
                <c:pt idx="0">
                  <c:v>2.9219519230769233</c:v>
                </c:pt>
                <c:pt idx="1">
                  <c:v>3.0886185897435903</c:v>
                </c:pt>
                <c:pt idx="2">
                  <c:v>3.2552852564102563</c:v>
                </c:pt>
                <c:pt idx="3">
                  <c:v>3.4219519230769233</c:v>
                </c:pt>
                <c:pt idx="4">
                  <c:v>3.5886185897435903</c:v>
                </c:pt>
                <c:pt idx="5">
                  <c:v>3.7552852564102572</c:v>
                </c:pt>
                <c:pt idx="6">
                  <c:v>3.9219519230769242</c:v>
                </c:pt>
                <c:pt idx="7">
                  <c:v>4.0886185897435903</c:v>
                </c:pt>
                <c:pt idx="8">
                  <c:v>4.2552852564102581</c:v>
                </c:pt>
                <c:pt idx="9">
                  <c:v>4.4219519230769242</c:v>
                </c:pt>
                <c:pt idx="10">
                  <c:v>4.5886185897435912</c:v>
                </c:pt>
                <c:pt idx="11">
                  <c:v>4.7552852564102581</c:v>
                </c:pt>
                <c:pt idx="12">
                  <c:v>4.9219519230769242</c:v>
                </c:pt>
                <c:pt idx="13">
                  <c:v>5.0886185897435912</c:v>
                </c:pt>
                <c:pt idx="14">
                  <c:v>5.2552852564102581</c:v>
                </c:pt>
                <c:pt idx="15">
                  <c:v>5.4219519230769251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11B7-4398-9AAE-23E1C92E78F5}"/>
            </c:ext>
          </c:extLst>
        </c:ser>
        <c:ser>
          <c:idx val="8"/>
          <c:order val="4"/>
          <c:tx>
            <c:strRef>
              <c:f>'SI Table 9.2'!$N$4</c:f>
              <c:strCache>
                <c:ptCount val="1"/>
                <c:pt idx="0">
                  <c:v>$3/kg H2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E-11B7-4398-9AAE-23E1C92E78F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F-11B7-4398-9AAE-23E1C92E78F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0-11B7-4398-9AAE-23E1C92E78F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1-11B7-4398-9AAE-23E1C92E78F5}"/>
              </c:ext>
            </c:extLst>
          </c:dPt>
          <c:cat>
            <c:numRef>
              <c:f>'SI Table 9.2'!$C$29:$C$44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9.2'!$O$6:$O$21</c:f>
              <c:numCache>
                <c:formatCode>General</c:formatCode>
                <c:ptCount val="16"/>
                <c:pt idx="0">
                  <c:v>4.9199519230769226</c:v>
                </c:pt>
                <c:pt idx="1">
                  <c:v>5.0866185897435905</c:v>
                </c:pt>
                <c:pt idx="2">
                  <c:v>5.2532852564102566</c:v>
                </c:pt>
                <c:pt idx="3">
                  <c:v>5.4199519230769235</c:v>
                </c:pt>
                <c:pt idx="4">
                  <c:v>5.5866185897435905</c:v>
                </c:pt>
                <c:pt idx="5">
                  <c:v>5.7532852564102575</c:v>
                </c:pt>
                <c:pt idx="6">
                  <c:v>5.9199519230769244</c:v>
                </c:pt>
                <c:pt idx="7">
                  <c:v>6.0866185897435905</c:v>
                </c:pt>
                <c:pt idx="8">
                  <c:v>6.2532852564102583</c:v>
                </c:pt>
                <c:pt idx="9">
                  <c:v>6.4199519230769244</c:v>
                </c:pt>
                <c:pt idx="10">
                  <c:v>6.5866185897435914</c:v>
                </c:pt>
                <c:pt idx="11">
                  <c:v>6.7532852564102583</c:v>
                </c:pt>
                <c:pt idx="12">
                  <c:v>6.9199519230769244</c:v>
                </c:pt>
                <c:pt idx="13">
                  <c:v>7.0866185897435914</c:v>
                </c:pt>
                <c:pt idx="14">
                  <c:v>7.2532852564102583</c:v>
                </c:pt>
                <c:pt idx="15">
                  <c:v>7.4199519230769253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11B7-4398-9AAE-23E1C92E7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717855"/>
        <c:axId val="1"/>
      </c:lineChart>
      <c:lineChart>
        <c:grouping val="standard"/>
        <c:varyColors val="0"/>
        <c:ser>
          <c:idx val="10"/>
          <c:order val="5"/>
          <c:tx>
            <c:strRef>
              <c:f>'SI Table 9.2'!$F$4</c:f>
              <c:strCache>
                <c:ptCount val="1"/>
                <c:pt idx="0">
                  <c:v>No PTC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'SI Table 9.2'!$E$29:$E$44</c:f>
              <c:numCache>
                <c:formatCode>0.0</c:formatCode>
                <c:ptCount val="16"/>
                <c:pt idx="0">
                  <c:v>54.153068696493314</c:v>
                </c:pt>
                <c:pt idx="1">
                  <c:v>58.853973620691221</c:v>
                </c:pt>
                <c:pt idx="2">
                  <c:v>63.554878544889128</c:v>
                </c:pt>
                <c:pt idx="3">
                  <c:v>68.255783469087049</c:v>
                </c:pt>
                <c:pt idx="4">
                  <c:v>72.956688393284963</c:v>
                </c:pt>
                <c:pt idx="5">
                  <c:v>77.657593317482863</c:v>
                </c:pt>
                <c:pt idx="6">
                  <c:v>82.358498241680792</c:v>
                </c:pt>
                <c:pt idx="7">
                  <c:v>87.059403165878692</c:v>
                </c:pt>
                <c:pt idx="8">
                  <c:v>91.760308090076606</c:v>
                </c:pt>
                <c:pt idx="9">
                  <c:v>96.461213014274492</c:v>
                </c:pt>
                <c:pt idx="10">
                  <c:v>101.16211793847242</c:v>
                </c:pt>
                <c:pt idx="11">
                  <c:v>105.86302286267033</c:v>
                </c:pt>
                <c:pt idx="12">
                  <c:v>110.56392778686825</c:v>
                </c:pt>
                <c:pt idx="13">
                  <c:v>115.26483271106616</c:v>
                </c:pt>
                <c:pt idx="14">
                  <c:v>119.96573763526409</c:v>
                </c:pt>
                <c:pt idx="15">
                  <c:v>124.66664255946198</c:v>
                </c:pt>
              </c:numCache>
            </c:numRef>
          </c:cat>
          <c:val>
            <c:numRef>
              <c:f>'SI Table 9.2'!$G$6:$G$21</c:f>
              <c:numCache>
                <c:formatCode>General</c:formatCode>
                <c:ptCount val="16"/>
                <c:pt idx="0">
                  <c:v>1.9199519230769231</c:v>
                </c:pt>
                <c:pt idx="1">
                  <c:v>2.08661858974359</c:v>
                </c:pt>
                <c:pt idx="2">
                  <c:v>2.2532852564102566</c:v>
                </c:pt>
                <c:pt idx="3">
                  <c:v>2.4199519230769235</c:v>
                </c:pt>
                <c:pt idx="4">
                  <c:v>2.5866185897435905</c:v>
                </c:pt>
                <c:pt idx="5">
                  <c:v>2.7532852564102575</c:v>
                </c:pt>
                <c:pt idx="6">
                  <c:v>2.919951923076924</c:v>
                </c:pt>
                <c:pt idx="7">
                  <c:v>3.0866185897435905</c:v>
                </c:pt>
                <c:pt idx="8">
                  <c:v>3.2532852564102579</c:v>
                </c:pt>
                <c:pt idx="9">
                  <c:v>3.419951923076924</c:v>
                </c:pt>
                <c:pt idx="10">
                  <c:v>3.5866185897435914</c:v>
                </c:pt>
                <c:pt idx="11">
                  <c:v>3.7532852564102579</c:v>
                </c:pt>
                <c:pt idx="12">
                  <c:v>3.9199519230769244</c:v>
                </c:pt>
                <c:pt idx="13">
                  <c:v>4.0866185897435914</c:v>
                </c:pt>
                <c:pt idx="14">
                  <c:v>4.2532852564102583</c:v>
                </c:pt>
                <c:pt idx="15">
                  <c:v>4.4199519230769253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11B7-4398-9AAE-23E1C92E7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87717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18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Break-even hydrogen production cost, $/kg H</a:t>
                </a:r>
                <a:r>
                  <a:rPr lang="en-US" sz="1400" b="1" i="0" u="none" strike="noStrike" baseline="-2500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5.9869464986078265E-2"/>
              <c:y val="0.11907513679434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7717855"/>
        <c:crosses val="autoZero"/>
        <c:crossBetween val="midCat"/>
      </c:valAx>
      <c:catAx>
        <c:axId val="3"/>
        <c:scaling>
          <c:orientation val="minMax"/>
        </c:scaling>
        <c:delete val="0"/>
        <c:axPos val="t"/>
        <c:numFmt formatCode="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"/>
        <c:crosses val="max"/>
        <c:auto val="1"/>
        <c:lblAlgn val="ctr"/>
        <c:lblOffset val="0"/>
        <c:noMultiLvlLbl val="0"/>
      </c:catAx>
      <c:valAx>
        <c:axId val="4"/>
        <c:scaling>
          <c:orientation val="minMax"/>
          <c:max val="15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  <c:majorUnit val="15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6276833954148"/>
          <c:y val="8.1398109260011134E-2"/>
          <c:w val="0.76494967162551208"/>
          <c:h val="0.80139109830206134"/>
        </c:manualLayout>
      </c:layout>
      <c:areaChart>
        <c:grouping val="stacked"/>
        <c:varyColors val="0"/>
        <c:ser>
          <c:idx val="24"/>
          <c:order val="0"/>
          <c:tx>
            <c:strRef>
              <c:f>'SI Table 9.3'!$F$33</c:f>
              <c:strCache>
                <c:ptCount val="1"/>
                <c:pt idx="0">
                  <c:v>Base 1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9.3'!$G$33:$V$33</c:f>
              <c:numCache>
                <c:formatCode>General</c:formatCode>
                <c:ptCount val="16"/>
                <c:pt idx="0">
                  <c:v>2.8799278846153848</c:v>
                </c:pt>
                <c:pt idx="1">
                  <c:v>3.1299278846153848</c:v>
                </c:pt>
                <c:pt idx="2">
                  <c:v>3.3799278846153853</c:v>
                </c:pt>
                <c:pt idx="3">
                  <c:v>3.6299278846153857</c:v>
                </c:pt>
                <c:pt idx="4">
                  <c:v>3.8799278846153862</c:v>
                </c:pt>
                <c:pt idx="5">
                  <c:v>4.1299278846153857</c:v>
                </c:pt>
                <c:pt idx="6">
                  <c:v>4.3799278846153857</c:v>
                </c:pt>
                <c:pt idx="7">
                  <c:v>4.6299278846153857</c:v>
                </c:pt>
                <c:pt idx="8">
                  <c:v>4.8799278846153866</c:v>
                </c:pt>
                <c:pt idx="9">
                  <c:v>5.1299278846153857</c:v>
                </c:pt>
                <c:pt idx="10">
                  <c:v>5.3799278846153866</c:v>
                </c:pt>
                <c:pt idx="11">
                  <c:v>5.6299278846153866</c:v>
                </c:pt>
                <c:pt idx="12">
                  <c:v>5.8799278846153866</c:v>
                </c:pt>
                <c:pt idx="13">
                  <c:v>6.1299278846153866</c:v>
                </c:pt>
                <c:pt idx="14">
                  <c:v>6.3799278846153875</c:v>
                </c:pt>
                <c:pt idx="15">
                  <c:v>6.6299278846153875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3-4284-8A49-7B6D9F5BF994}"/>
            </c:ext>
          </c:extLst>
        </c:ser>
        <c:ser>
          <c:idx val="25"/>
          <c:order val="1"/>
          <c:tx>
            <c:strRef>
              <c:f>'SI Table 9.3'!$F$34</c:f>
              <c:strCache>
                <c:ptCount val="1"/>
                <c:pt idx="0">
                  <c:v>Delta1</c:v>
                </c:pt>
              </c:strCache>
            </c:strRef>
          </c:tx>
          <c:spPr>
            <a:solidFill>
              <a:srgbClr val="00CC66">
                <a:alpha val="84706"/>
              </a:srgbClr>
            </a:solidFill>
            <a:ln>
              <a:noFill/>
            </a:ln>
            <a:effectLst/>
          </c:spPr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9.3'!$G$34:$V$34</c:f>
              <c:numCache>
                <c:formatCode>General</c:formatCode>
                <c:ptCount val="16"/>
                <c:pt idx="0">
                  <c:v>0.2092285714285711</c:v>
                </c:pt>
                <c:pt idx="1">
                  <c:v>0.2092285714285711</c:v>
                </c:pt>
                <c:pt idx="2">
                  <c:v>0.20922857142857154</c:v>
                </c:pt>
                <c:pt idx="3">
                  <c:v>0.2092285714285711</c:v>
                </c:pt>
                <c:pt idx="4">
                  <c:v>0.2092285714285711</c:v>
                </c:pt>
                <c:pt idx="5">
                  <c:v>0.20922857142857154</c:v>
                </c:pt>
                <c:pt idx="6">
                  <c:v>0.20922857142857154</c:v>
                </c:pt>
                <c:pt idx="7">
                  <c:v>0.20922857142857154</c:v>
                </c:pt>
                <c:pt idx="8">
                  <c:v>0.20922857142857154</c:v>
                </c:pt>
                <c:pt idx="9">
                  <c:v>0.20922857142857154</c:v>
                </c:pt>
                <c:pt idx="10">
                  <c:v>0.20922857142857154</c:v>
                </c:pt>
                <c:pt idx="11">
                  <c:v>0.20922857142857154</c:v>
                </c:pt>
                <c:pt idx="12">
                  <c:v>0.20922857142857154</c:v>
                </c:pt>
                <c:pt idx="13">
                  <c:v>0.20922857142857154</c:v>
                </c:pt>
                <c:pt idx="14">
                  <c:v>0.20922857142857154</c:v>
                </c:pt>
                <c:pt idx="15">
                  <c:v>0.20922857142857154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E3-4284-8A49-7B6D9F5BF994}"/>
            </c:ext>
          </c:extLst>
        </c:ser>
        <c:ser>
          <c:idx val="26"/>
          <c:order val="2"/>
          <c:tx>
            <c:strRef>
              <c:f>'SI Table 9.3'!$F$35</c:f>
              <c:strCache>
                <c:ptCount val="1"/>
                <c:pt idx="0">
                  <c:v>Delta2</c:v>
                </c:pt>
              </c:strCache>
            </c:strRef>
          </c:tx>
          <c:spPr>
            <a:solidFill>
              <a:srgbClr val="00FA00">
                <a:alpha val="84706"/>
              </a:srgbClr>
            </a:solidFill>
            <a:ln>
              <a:noFill/>
            </a:ln>
            <a:effectLst/>
          </c:spPr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9.3'!$G$35:$V$35</c:f>
              <c:numCache>
                <c:formatCode>General</c:formatCode>
                <c:ptCount val="16"/>
                <c:pt idx="0">
                  <c:v>0.13948571428571466</c:v>
                </c:pt>
                <c:pt idx="1">
                  <c:v>0.13948571428571466</c:v>
                </c:pt>
                <c:pt idx="2">
                  <c:v>0.13948571428571421</c:v>
                </c:pt>
                <c:pt idx="3">
                  <c:v>0.13948571428571421</c:v>
                </c:pt>
                <c:pt idx="4">
                  <c:v>0.13948571428571466</c:v>
                </c:pt>
                <c:pt idx="5">
                  <c:v>0.13948571428571466</c:v>
                </c:pt>
                <c:pt idx="6">
                  <c:v>0.13948571428571466</c:v>
                </c:pt>
                <c:pt idx="7">
                  <c:v>0.13948571428571466</c:v>
                </c:pt>
                <c:pt idx="8">
                  <c:v>0.13948571428571466</c:v>
                </c:pt>
                <c:pt idx="9">
                  <c:v>0.13948571428571466</c:v>
                </c:pt>
                <c:pt idx="10">
                  <c:v>0.13948571428571466</c:v>
                </c:pt>
                <c:pt idx="11">
                  <c:v>0.13948571428571466</c:v>
                </c:pt>
                <c:pt idx="12">
                  <c:v>0.13948571428571466</c:v>
                </c:pt>
                <c:pt idx="13">
                  <c:v>0.13948571428571466</c:v>
                </c:pt>
                <c:pt idx="14">
                  <c:v>0.13948571428571466</c:v>
                </c:pt>
                <c:pt idx="15">
                  <c:v>0.13948571428571466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E3-4284-8A49-7B6D9F5BF994}"/>
            </c:ext>
          </c:extLst>
        </c:ser>
        <c:ser>
          <c:idx val="27"/>
          <c:order val="3"/>
          <c:tx>
            <c:strRef>
              <c:f>'SI Table 9.3'!$F$36</c:f>
              <c:strCache>
                <c:ptCount val="1"/>
                <c:pt idx="0">
                  <c:v>Delta3</c:v>
                </c:pt>
              </c:strCache>
            </c:strRef>
          </c:tx>
          <c:spPr>
            <a:solidFill>
              <a:srgbClr val="88FF67">
                <a:alpha val="92941"/>
              </a:srgbClr>
            </a:solidFill>
            <a:ln>
              <a:noFill/>
            </a:ln>
            <a:effectLst/>
          </c:spPr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9.3'!$G$36:$V$36</c:f>
              <c:numCache>
                <c:formatCode>General</c:formatCode>
                <c:ptCount val="16"/>
                <c:pt idx="0">
                  <c:v>0.52307142857142841</c:v>
                </c:pt>
                <c:pt idx="1">
                  <c:v>0.52307142857142841</c:v>
                </c:pt>
                <c:pt idx="2">
                  <c:v>0.52307142857142885</c:v>
                </c:pt>
                <c:pt idx="3">
                  <c:v>0.52307142857142885</c:v>
                </c:pt>
                <c:pt idx="4">
                  <c:v>0.52307142857142797</c:v>
                </c:pt>
                <c:pt idx="5">
                  <c:v>0.52307142857142797</c:v>
                </c:pt>
                <c:pt idx="6">
                  <c:v>0.52307142857142797</c:v>
                </c:pt>
                <c:pt idx="7">
                  <c:v>0.52307142857142797</c:v>
                </c:pt>
                <c:pt idx="8">
                  <c:v>0.52307142857142885</c:v>
                </c:pt>
                <c:pt idx="9">
                  <c:v>0.52307142857142797</c:v>
                </c:pt>
                <c:pt idx="10">
                  <c:v>0.52307142857142885</c:v>
                </c:pt>
                <c:pt idx="11">
                  <c:v>0.52307142857142885</c:v>
                </c:pt>
                <c:pt idx="12">
                  <c:v>0.52307142857142885</c:v>
                </c:pt>
                <c:pt idx="13">
                  <c:v>0.52307142857142885</c:v>
                </c:pt>
                <c:pt idx="14">
                  <c:v>0.52307142857142797</c:v>
                </c:pt>
                <c:pt idx="15">
                  <c:v>0.52307142857142797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E3-4284-8A49-7B6D9F5BF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09119"/>
        <c:axId val="1"/>
      </c:areaChart>
      <c:areaChart>
        <c:grouping val="stacked"/>
        <c:varyColors val="0"/>
        <c:ser>
          <c:idx val="5"/>
          <c:order val="7"/>
          <c:tx>
            <c:strRef>
              <c:f>'SI Table 9.3'!$F$32</c:f>
              <c:strCache>
                <c:ptCount val="1"/>
                <c:pt idx="0">
                  <c:v>$250/t CO2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'SI Table 9.3'!$E$40:$E$55</c:f>
              <c:numCache>
                <c:formatCode>0.0</c:formatCode>
                <c:ptCount val="16"/>
                <c:pt idx="0">
                  <c:v>54.153068696493314</c:v>
                </c:pt>
                <c:pt idx="1">
                  <c:v>58.853973620691221</c:v>
                </c:pt>
                <c:pt idx="2">
                  <c:v>63.554878544889128</c:v>
                </c:pt>
                <c:pt idx="3">
                  <c:v>68.255783469087049</c:v>
                </c:pt>
                <c:pt idx="4">
                  <c:v>72.956688393284963</c:v>
                </c:pt>
                <c:pt idx="5">
                  <c:v>77.657593317482863</c:v>
                </c:pt>
                <c:pt idx="6">
                  <c:v>82.358498241680792</c:v>
                </c:pt>
                <c:pt idx="7">
                  <c:v>87.059403165878692</c:v>
                </c:pt>
                <c:pt idx="8">
                  <c:v>91.760308090076606</c:v>
                </c:pt>
                <c:pt idx="9">
                  <c:v>96.461213014274492</c:v>
                </c:pt>
                <c:pt idx="10">
                  <c:v>101.16211793847242</c:v>
                </c:pt>
                <c:pt idx="11">
                  <c:v>105.86302286267033</c:v>
                </c:pt>
                <c:pt idx="12">
                  <c:v>110.56392778686825</c:v>
                </c:pt>
                <c:pt idx="13">
                  <c:v>115.26483271106616</c:v>
                </c:pt>
                <c:pt idx="14">
                  <c:v>119.96573763526409</c:v>
                </c:pt>
                <c:pt idx="15">
                  <c:v>124.66664255946198</c:v>
                </c:pt>
              </c:numCache>
            </c:numRef>
          </c:cat>
          <c:val>
            <c:numRef>
              <c:f>'SI Table 9.3'!$N$6:$N$21</c:f>
              <c:numCache>
                <c:formatCode>General</c:formatCode>
                <c:ptCount val="16"/>
                <c:pt idx="0">
                  <c:v>112.56266423345632</c:v>
                </c:pt>
                <c:pt idx="1">
                  <c:v>120.06341430846382</c:v>
                </c:pt>
                <c:pt idx="2">
                  <c:v>127.56416438347136</c:v>
                </c:pt>
                <c:pt idx="3">
                  <c:v>135.06491445847885</c:v>
                </c:pt>
                <c:pt idx="4">
                  <c:v>142.56566453348637</c:v>
                </c:pt>
                <c:pt idx="5">
                  <c:v>150.06641460849386</c:v>
                </c:pt>
                <c:pt idx="6">
                  <c:v>157.56716468350137</c:v>
                </c:pt>
                <c:pt idx="7">
                  <c:v>165.06791475850886</c:v>
                </c:pt>
                <c:pt idx="8">
                  <c:v>172.56866483351641</c:v>
                </c:pt>
                <c:pt idx="9">
                  <c:v>180.06941490852387</c:v>
                </c:pt>
                <c:pt idx="10">
                  <c:v>187.57016498353141</c:v>
                </c:pt>
                <c:pt idx="11">
                  <c:v>195.0709150585389</c:v>
                </c:pt>
                <c:pt idx="12">
                  <c:v>202.57166513354639</c:v>
                </c:pt>
                <c:pt idx="13">
                  <c:v>210.07241520855391</c:v>
                </c:pt>
                <c:pt idx="14">
                  <c:v>217.57316528356139</c:v>
                </c:pt>
                <c:pt idx="15">
                  <c:v>225.07391535856891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E3-4284-8A49-7B6D9F5BF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0"/>
          <c:order val="4"/>
          <c:tx>
            <c:strRef>
              <c:f>'SI Table 9.3'!$F$29</c:f>
              <c:strCache>
                <c:ptCount val="1"/>
                <c:pt idx="0">
                  <c:v>No carbon tax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6-07E3-4284-8A49-7B6D9F5BF994}"/>
              </c:ext>
            </c:extLst>
          </c:dPt>
          <c:dPt>
            <c:idx val="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8-07E3-4284-8A49-7B6D9F5BF994}"/>
              </c:ext>
            </c:extLst>
          </c:dPt>
          <c:dPt>
            <c:idx val="3"/>
            <c:bubble3D val="0"/>
            <c:spPr>
              <a:ln w="12700">
                <a:noFill/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A-07E3-4284-8A49-7B6D9F5BF994}"/>
              </c:ext>
            </c:extLst>
          </c:dPt>
          <c:dLbls>
            <c:dLbl>
              <c:idx val="2"/>
              <c:layout>
                <c:manualLayout>
                  <c:x val="-0.12941341409080312"/>
                  <c:y val="1.7461697860406283E-2"/>
                </c:manualLayout>
              </c:layout>
              <c:tx>
                <c:rich>
                  <a:bodyPr rot="-960000" vert="horz"/>
                  <a:lstStyle/>
                  <a:p>
                    <a:pPr algn="ctr"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No CO</a:t>
                    </a:r>
                    <a:r>
                      <a:rPr lang="en-US" sz="1200" b="0" i="0" u="none" strike="noStrike" baseline="-2500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2</a:t>
                    </a: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 tax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07E3-4284-8A49-7B6D9F5BF9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9.3'!$G$29:$V$29</c:f>
              <c:numCache>
                <c:formatCode>General</c:formatCode>
                <c:ptCount val="16"/>
                <c:pt idx="0">
                  <c:v>2.8799278846153848</c:v>
                </c:pt>
                <c:pt idx="1">
                  <c:v>3.1299278846153848</c:v>
                </c:pt>
                <c:pt idx="2">
                  <c:v>3.3799278846153853</c:v>
                </c:pt>
                <c:pt idx="3">
                  <c:v>3.6299278846153857</c:v>
                </c:pt>
                <c:pt idx="4">
                  <c:v>3.8799278846153862</c:v>
                </c:pt>
                <c:pt idx="5">
                  <c:v>4.1299278846153857</c:v>
                </c:pt>
                <c:pt idx="6">
                  <c:v>4.3799278846153857</c:v>
                </c:pt>
                <c:pt idx="7">
                  <c:v>4.6299278846153857</c:v>
                </c:pt>
                <c:pt idx="8">
                  <c:v>4.8799278846153866</c:v>
                </c:pt>
                <c:pt idx="9">
                  <c:v>5.1299278846153857</c:v>
                </c:pt>
                <c:pt idx="10">
                  <c:v>5.3799278846153866</c:v>
                </c:pt>
                <c:pt idx="11">
                  <c:v>5.6299278846153866</c:v>
                </c:pt>
                <c:pt idx="12">
                  <c:v>5.8799278846153866</c:v>
                </c:pt>
                <c:pt idx="13">
                  <c:v>6.1299278846153866</c:v>
                </c:pt>
                <c:pt idx="14">
                  <c:v>6.3799278846153875</c:v>
                </c:pt>
                <c:pt idx="15">
                  <c:v>6.6299278846153875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7E3-4284-8A49-7B6D9F5BF994}"/>
            </c:ext>
          </c:extLst>
        </c:ser>
        <c:ser>
          <c:idx val="1"/>
          <c:order val="5"/>
          <c:tx>
            <c:strRef>
              <c:f>'SI Table 9.3'!$F$30</c:f>
              <c:strCache>
                <c:ptCount val="1"/>
                <c:pt idx="0">
                  <c:v>$60/t CO2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3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07E3-4284-8A49-7B6D9F5BF994}"/>
              </c:ext>
            </c:extLst>
          </c:dPt>
          <c:dPt>
            <c:idx val="4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F-07E3-4284-8A49-7B6D9F5BF994}"/>
              </c:ext>
            </c:extLst>
          </c:dPt>
          <c:dPt>
            <c:idx val="5"/>
            <c:bubble3D val="0"/>
            <c:spPr>
              <a:ln w="12700">
                <a:noFill/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11-07E3-4284-8A49-7B6D9F5BF994}"/>
              </c:ext>
            </c:extLst>
          </c:dPt>
          <c:dLbls>
            <c:dLbl>
              <c:idx val="4"/>
              <c:layout>
                <c:manualLayout>
                  <c:x val="-0.11451373780741367"/>
                  <c:y val="1.530902484677202E-2"/>
                </c:manualLayout>
              </c:layout>
              <c:tx>
                <c:rich>
                  <a:bodyPr rot="-960000" vert="horz"/>
                  <a:lstStyle/>
                  <a:p>
                    <a:pPr algn="ctr"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$60/t CO</a:t>
                    </a:r>
                    <a:r>
                      <a:rPr lang="en-US" sz="1200" b="0" i="0" u="none" strike="noStrike" baseline="-2500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7E3-4284-8A49-7B6D9F5BF9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9.3'!$G$30:$V$30</c:f>
              <c:numCache>
                <c:formatCode>General</c:formatCode>
                <c:ptCount val="16"/>
                <c:pt idx="0">
                  <c:v>3.0891564560439559</c:v>
                </c:pt>
                <c:pt idx="1">
                  <c:v>3.3391564560439559</c:v>
                </c:pt>
                <c:pt idx="2">
                  <c:v>3.5891564560439568</c:v>
                </c:pt>
                <c:pt idx="3">
                  <c:v>3.8391564560439568</c:v>
                </c:pt>
                <c:pt idx="4">
                  <c:v>4.0891564560439573</c:v>
                </c:pt>
                <c:pt idx="5">
                  <c:v>4.3391564560439573</c:v>
                </c:pt>
                <c:pt idx="6">
                  <c:v>4.5891564560439573</c:v>
                </c:pt>
                <c:pt idx="7">
                  <c:v>4.8391564560439573</c:v>
                </c:pt>
                <c:pt idx="8">
                  <c:v>5.0891564560439582</c:v>
                </c:pt>
                <c:pt idx="9">
                  <c:v>5.3391564560439573</c:v>
                </c:pt>
                <c:pt idx="10">
                  <c:v>5.5891564560439582</c:v>
                </c:pt>
                <c:pt idx="11">
                  <c:v>5.8391564560439582</c:v>
                </c:pt>
                <c:pt idx="12">
                  <c:v>6.0891564560439582</c:v>
                </c:pt>
                <c:pt idx="13">
                  <c:v>6.3391564560439582</c:v>
                </c:pt>
                <c:pt idx="14">
                  <c:v>6.5891564560439591</c:v>
                </c:pt>
                <c:pt idx="15">
                  <c:v>6.8391564560439591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7E3-4284-8A49-7B6D9F5BF994}"/>
            </c:ext>
          </c:extLst>
        </c:ser>
        <c:ser>
          <c:idx val="4"/>
          <c:order val="6"/>
          <c:tx>
            <c:strRef>
              <c:f>'SI Table 9.3'!$F$31</c:f>
              <c:strCache>
                <c:ptCount val="1"/>
                <c:pt idx="0">
                  <c:v>$100/t CO2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5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4-07E3-4284-8A49-7B6D9F5BF994}"/>
              </c:ext>
            </c:extLst>
          </c:dPt>
          <c:dPt>
            <c:idx val="6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6-07E3-4284-8A49-7B6D9F5BF994}"/>
              </c:ext>
            </c:extLst>
          </c:dPt>
          <c:dPt>
            <c:idx val="7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8-07E3-4284-8A49-7B6D9F5BF994}"/>
              </c:ext>
            </c:extLst>
          </c:dPt>
          <c:dLbls>
            <c:dLbl>
              <c:idx val="6"/>
              <c:layout>
                <c:manualLayout>
                  <c:x val="-0.121628198675203"/>
                  <c:y val="1.4651151484145295E-3"/>
                </c:manualLayout>
              </c:layout>
              <c:tx>
                <c:rich>
                  <a:bodyPr rot="-960000" vert="horz"/>
                  <a:lstStyle/>
                  <a:p>
                    <a:pPr algn="ctr"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$100/t CO</a:t>
                    </a:r>
                    <a:r>
                      <a:rPr lang="en-US" sz="1200" b="0" i="0" u="none" strike="noStrike" baseline="-2500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07E3-4284-8A49-7B6D9F5BF9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9.3'!$G$31:$V$31</c:f>
              <c:numCache>
                <c:formatCode>General</c:formatCode>
                <c:ptCount val="16"/>
                <c:pt idx="0">
                  <c:v>3.2286421703296706</c:v>
                </c:pt>
                <c:pt idx="1">
                  <c:v>3.4786421703296706</c:v>
                </c:pt>
                <c:pt idx="2">
                  <c:v>3.728642170329671</c:v>
                </c:pt>
                <c:pt idx="3">
                  <c:v>3.978642170329671</c:v>
                </c:pt>
                <c:pt idx="4">
                  <c:v>4.2286421703296719</c:v>
                </c:pt>
                <c:pt idx="5">
                  <c:v>4.4786421703296719</c:v>
                </c:pt>
                <c:pt idx="6">
                  <c:v>4.7286421703296719</c:v>
                </c:pt>
                <c:pt idx="7">
                  <c:v>4.9786421703296719</c:v>
                </c:pt>
                <c:pt idx="8">
                  <c:v>5.2286421703296728</c:v>
                </c:pt>
                <c:pt idx="9">
                  <c:v>5.4786421703296719</c:v>
                </c:pt>
                <c:pt idx="10">
                  <c:v>5.7286421703296728</c:v>
                </c:pt>
                <c:pt idx="11">
                  <c:v>5.9786421703296728</c:v>
                </c:pt>
                <c:pt idx="12">
                  <c:v>6.2286421703296728</c:v>
                </c:pt>
                <c:pt idx="13">
                  <c:v>6.4786421703296728</c:v>
                </c:pt>
                <c:pt idx="14">
                  <c:v>6.7286421703296737</c:v>
                </c:pt>
                <c:pt idx="15">
                  <c:v>6.9786421703296737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7E3-4284-8A49-7B6D9F5BF994}"/>
            </c:ext>
          </c:extLst>
        </c:ser>
        <c:ser>
          <c:idx val="2"/>
          <c:order val="8"/>
          <c:tx>
            <c:strRef>
              <c:f>'SI Table 9.3'!$F$32</c:f>
              <c:strCache>
                <c:ptCount val="1"/>
                <c:pt idx="0">
                  <c:v>$250/t CO2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A-07E3-4284-8A49-7B6D9F5BF994}"/>
              </c:ext>
            </c:extLst>
          </c:dPt>
          <c:dPt>
            <c:idx val="7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C-07E3-4284-8A49-7B6D9F5BF994}"/>
              </c:ext>
            </c:extLst>
          </c:dPt>
          <c:dPt>
            <c:idx val="8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E-07E3-4284-8A49-7B6D9F5BF994}"/>
              </c:ext>
            </c:extLst>
          </c:dPt>
          <c:dPt>
            <c:idx val="9"/>
            <c:bubble3D val="0"/>
            <c:spPr>
              <a:ln w="12700">
                <a:noFill/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20-07E3-4284-8A49-7B6D9F5BF994}"/>
              </c:ext>
            </c:extLst>
          </c:dPt>
          <c:dLbls>
            <c:dLbl>
              <c:idx val="8"/>
              <c:layout>
                <c:manualLayout>
                  <c:x val="-0.12323021674645783"/>
                  <c:y val="2.549865690761936E-3"/>
                </c:manualLayout>
              </c:layout>
              <c:tx>
                <c:rich>
                  <a:bodyPr rot="-960000" vert="horz"/>
                  <a:lstStyle/>
                  <a:p>
                    <a:pPr algn="ctr"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$250/t CO</a:t>
                    </a:r>
                    <a:r>
                      <a:rPr lang="en-US" sz="1200" b="0" i="0" u="none" strike="noStrike" baseline="-2500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07E3-4284-8A49-7B6D9F5BF9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9.3'!$G$32:$V$32</c:f>
              <c:numCache>
                <c:formatCode>General</c:formatCode>
                <c:ptCount val="16"/>
                <c:pt idx="0">
                  <c:v>3.751713598901099</c:v>
                </c:pt>
                <c:pt idx="1">
                  <c:v>4.001713598901099</c:v>
                </c:pt>
                <c:pt idx="2">
                  <c:v>4.2517135989010999</c:v>
                </c:pt>
                <c:pt idx="3">
                  <c:v>4.5017135989010999</c:v>
                </c:pt>
                <c:pt idx="4">
                  <c:v>4.7517135989010999</c:v>
                </c:pt>
                <c:pt idx="5">
                  <c:v>5.0017135989010999</c:v>
                </c:pt>
                <c:pt idx="6">
                  <c:v>5.2517135989010999</c:v>
                </c:pt>
                <c:pt idx="7">
                  <c:v>5.5017135989010999</c:v>
                </c:pt>
                <c:pt idx="8">
                  <c:v>5.7517135989011017</c:v>
                </c:pt>
                <c:pt idx="9">
                  <c:v>6.0017135989010999</c:v>
                </c:pt>
                <c:pt idx="10">
                  <c:v>6.2517135989011017</c:v>
                </c:pt>
                <c:pt idx="11">
                  <c:v>6.5017135989011017</c:v>
                </c:pt>
                <c:pt idx="12">
                  <c:v>6.7517135989011017</c:v>
                </c:pt>
                <c:pt idx="13">
                  <c:v>7.0017135989011017</c:v>
                </c:pt>
                <c:pt idx="14">
                  <c:v>7.2517135989011017</c:v>
                </c:pt>
                <c:pt idx="15">
                  <c:v>7.5017135989011017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07E3-4284-8A49-7B6D9F5BF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909119"/>
        <c:axId val="1"/>
      </c:lineChart>
      <c:catAx>
        <c:axId val="1898909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18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98909119"/>
        <c:crossesAt val="1"/>
        <c:crossBetween val="midCat"/>
      </c:valAx>
      <c:catAx>
        <c:axId val="3"/>
        <c:scaling>
          <c:orientation val="minMax"/>
        </c:scaling>
        <c:delete val="0"/>
        <c:axPos val="t"/>
        <c:numFmt formatCode="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"/>
        <c:crosses val="max"/>
        <c:auto val="1"/>
        <c:lblAlgn val="ctr"/>
        <c:lblOffset val="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Break-even hydrogen production cost, $/MWh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midCat"/>
      </c:valAx>
      <c:spPr>
        <a:noFill/>
        <a:ln w="12700">
          <a:solidFill>
            <a:schemeClr val="tx1">
              <a:alpha val="84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6276833954148"/>
          <c:y val="8.1398109260011134E-2"/>
          <c:w val="0.76494967162551208"/>
          <c:h val="0.80139109830206134"/>
        </c:manualLayout>
      </c:layout>
      <c:areaChart>
        <c:grouping val="stacked"/>
        <c:varyColors val="0"/>
        <c:ser>
          <c:idx val="24"/>
          <c:order val="0"/>
          <c:tx>
            <c:strRef>
              <c:f>'SI Table 9.3'!$F$33</c:f>
              <c:strCache>
                <c:ptCount val="1"/>
                <c:pt idx="0">
                  <c:v>Base 1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9.3'!$G$33:$V$33</c:f>
              <c:numCache>
                <c:formatCode>General</c:formatCode>
                <c:ptCount val="16"/>
                <c:pt idx="0">
                  <c:v>2.8799278846153848</c:v>
                </c:pt>
                <c:pt idx="1">
                  <c:v>3.1299278846153848</c:v>
                </c:pt>
                <c:pt idx="2">
                  <c:v>3.3799278846153853</c:v>
                </c:pt>
                <c:pt idx="3">
                  <c:v>3.6299278846153857</c:v>
                </c:pt>
                <c:pt idx="4">
                  <c:v>3.8799278846153862</c:v>
                </c:pt>
                <c:pt idx="5">
                  <c:v>4.1299278846153857</c:v>
                </c:pt>
                <c:pt idx="6">
                  <c:v>4.3799278846153857</c:v>
                </c:pt>
                <c:pt idx="7">
                  <c:v>4.6299278846153857</c:v>
                </c:pt>
                <c:pt idx="8">
                  <c:v>4.8799278846153866</c:v>
                </c:pt>
                <c:pt idx="9">
                  <c:v>5.1299278846153857</c:v>
                </c:pt>
                <c:pt idx="10">
                  <c:v>5.3799278846153866</c:v>
                </c:pt>
                <c:pt idx="11">
                  <c:v>5.6299278846153866</c:v>
                </c:pt>
                <c:pt idx="12">
                  <c:v>5.8799278846153866</c:v>
                </c:pt>
                <c:pt idx="13">
                  <c:v>6.1299278846153866</c:v>
                </c:pt>
                <c:pt idx="14">
                  <c:v>6.3799278846153875</c:v>
                </c:pt>
                <c:pt idx="15">
                  <c:v>6.6299278846153875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F-479E-8B9D-0DA8AA6D00F8}"/>
            </c:ext>
          </c:extLst>
        </c:ser>
        <c:ser>
          <c:idx val="25"/>
          <c:order val="1"/>
          <c:tx>
            <c:strRef>
              <c:f>'SI Table 9.3'!$F$34</c:f>
              <c:strCache>
                <c:ptCount val="1"/>
                <c:pt idx="0">
                  <c:v>Delta1</c:v>
                </c:pt>
              </c:strCache>
            </c:strRef>
          </c:tx>
          <c:spPr>
            <a:solidFill>
              <a:srgbClr val="00CC66">
                <a:alpha val="84706"/>
              </a:srgbClr>
            </a:solidFill>
            <a:ln>
              <a:noFill/>
            </a:ln>
            <a:effectLst/>
          </c:spPr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9.3'!$G$34:$V$34</c:f>
              <c:numCache>
                <c:formatCode>General</c:formatCode>
                <c:ptCount val="16"/>
                <c:pt idx="0">
                  <c:v>0.2092285714285711</c:v>
                </c:pt>
                <c:pt idx="1">
                  <c:v>0.2092285714285711</c:v>
                </c:pt>
                <c:pt idx="2">
                  <c:v>0.20922857142857154</c:v>
                </c:pt>
                <c:pt idx="3">
                  <c:v>0.2092285714285711</c:v>
                </c:pt>
                <c:pt idx="4">
                  <c:v>0.2092285714285711</c:v>
                </c:pt>
                <c:pt idx="5">
                  <c:v>0.20922857142857154</c:v>
                </c:pt>
                <c:pt idx="6">
                  <c:v>0.20922857142857154</c:v>
                </c:pt>
                <c:pt idx="7">
                  <c:v>0.20922857142857154</c:v>
                </c:pt>
                <c:pt idx="8">
                  <c:v>0.20922857142857154</c:v>
                </c:pt>
                <c:pt idx="9">
                  <c:v>0.20922857142857154</c:v>
                </c:pt>
                <c:pt idx="10">
                  <c:v>0.20922857142857154</c:v>
                </c:pt>
                <c:pt idx="11">
                  <c:v>0.20922857142857154</c:v>
                </c:pt>
                <c:pt idx="12">
                  <c:v>0.20922857142857154</c:v>
                </c:pt>
                <c:pt idx="13">
                  <c:v>0.20922857142857154</c:v>
                </c:pt>
                <c:pt idx="14">
                  <c:v>0.20922857142857154</c:v>
                </c:pt>
                <c:pt idx="15">
                  <c:v>0.20922857142857154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F-479E-8B9D-0DA8AA6D00F8}"/>
            </c:ext>
          </c:extLst>
        </c:ser>
        <c:ser>
          <c:idx val="26"/>
          <c:order val="2"/>
          <c:tx>
            <c:strRef>
              <c:f>'SI Table 9.3'!$F$35</c:f>
              <c:strCache>
                <c:ptCount val="1"/>
                <c:pt idx="0">
                  <c:v>Delta2</c:v>
                </c:pt>
              </c:strCache>
            </c:strRef>
          </c:tx>
          <c:spPr>
            <a:solidFill>
              <a:srgbClr val="00FA00">
                <a:alpha val="84706"/>
              </a:srgbClr>
            </a:solidFill>
            <a:ln>
              <a:noFill/>
            </a:ln>
            <a:effectLst/>
          </c:spPr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9.3'!$G$35:$V$35</c:f>
              <c:numCache>
                <c:formatCode>General</c:formatCode>
                <c:ptCount val="16"/>
                <c:pt idx="0">
                  <c:v>0.13948571428571466</c:v>
                </c:pt>
                <c:pt idx="1">
                  <c:v>0.13948571428571466</c:v>
                </c:pt>
                <c:pt idx="2">
                  <c:v>0.13948571428571421</c:v>
                </c:pt>
                <c:pt idx="3">
                  <c:v>0.13948571428571421</c:v>
                </c:pt>
                <c:pt idx="4">
                  <c:v>0.13948571428571466</c:v>
                </c:pt>
                <c:pt idx="5">
                  <c:v>0.13948571428571466</c:v>
                </c:pt>
                <c:pt idx="6">
                  <c:v>0.13948571428571466</c:v>
                </c:pt>
                <c:pt idx="7">
                  <c:v>0.13948571428571466</c:v>
                </c:pt>
                <c:pt idx="8">
                  <c:v>0.13948571428571466</c:v>
                </c:pt>
                <c:pt idx="9">
                  <c:v>0.13948571428571466</c:v>
                </c:pt>
                <c:pt idx="10">
                  <c:v>0.13948571428571466</c:v>
                </c:pt>
                <c:pt idx="11">
                  <c:v>0.13948571428571466</c:v>
                </c:pt>
                <c:pt idx="12">
                  <c:v>0.13948571428571466</c:v>
                </c:pt>
                <c:pt idx="13">
                  <c:v>0.13948571428571466</c:v>
                </c:pt>
                <c:pt idx="14">
                  <c:v>0.13948571428571466</c:v>
                </c:pt>
                <c:pt idx="15">
                  <c:v>0.13948571428571466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F-479E-8B9D-0DA8AA6D00F8}"/>
            </c:ext>
          </c:extLst>
        </c:ser>
        <c:ser>
          <c:idx val="27"/>
          <c:order val="3"/>
          <c:tx>
            <c:strRef>
              <c:f>'SI Table 9.3'!$F$36</c:f>
              <c:strCache>
                <c:ptCount val="1"/>
                <c:pt idx="0">
                  <c:v>Delta3</c:v>
                </c:pt>
              </c:strCache>
            </c:strRef>
          </c:tx>
          <c:spPr>
            <a:solidFill>
              <a:srgbClr val="88FF67">
                <a:alpha val="92941"/>
              </a:srgbClr>
            </a:solidFill>
            <a:ln>
              <a:noFill/>
            </a:ln>
            <a:effectLst/>
          </c:spPr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9.3'!$G$36:$V$36</c:f>
              <c:numCache>
                <c:formatCode>General</c:formatCode>
                <c:ptCount val="16"/>
                <c:pt idx="0">
                  <c:v>0.52307142857142841</c:v>
                </c:pt>
                <c:pt idx="1">
                  <c:v>0.52307142857142841</c:v>
                </c:pt>
                <c:pt idx="2">
                  <c:v>0.52307142857142885</c:v>
                </c:pt>
                <c:pt idx="3">
                  <c:v>0.52307142857142885</c:v>
                </c:pt>
                <c:pt idx="4">
                  <c:v>0.52307142857142797</c:v>
                </c:pt>
                <c:pt idx="5">
                  <c:v>0.52307142857142797</c:v>
                </c:pt>
                <c:pt idx="6">
                  <c:v>0.52307142857142797</c:v>
                </c:pt>
                <c:pt idx="7">
                  <c:v>0.52307142857142797</c:v>
                </c:pt>
                <c:pt idx="8">
                  <c:v>0.52307142857142885</c:v>
                </c:pt>
                <c:pt idx="9">
                  <c:v>0.52307142857142797</c:v>
                </c:pt>
                <c:pt idx="10">
                  <c:v>0.52307142857142885</c:v>
                </c:pt>
                <c:pt idx="11">
                  <c:v>0.52307142857142885</c:v>
                </c:pt>
                <c:pt idx="12">
                  <c:v>0.52307142857142885</c:v>
                </c:pt>
                <c:pt idx="13">
                  <c:v>0.52307142857142885</c:v>
                </c:pt>
                <c:pt idx="14">
                  <c:v>0.52307142857142797</c:v>
                </c:pt>
                <c:pt idx="15">
                  <c:v>0.52307142857142797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1F-479E-8B9D-0DA8AA6D0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04319"/>
        <c:axId val="1"/>
      </c:areaChart>
      <c:areaChart>
        <c:grouping val="stacked"/>
        <c:varyColors val="0"/>
        <c:ser>
          <c:idx val="5"/>
          <c:order val="7"/>
          <c:tx>
            <c:strRef>
              <c:f>'SI Table 9.3'!$F$32</c:f>
              <c:strCache>
                <c:ptCount val="1"/>
                <c:pt idx="0">
                  <c:v>$250/t CO2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'SI Table 9.3'!$E$40:$E$55</c:f>
              <c:numCache>
                <c:formatCode>0.0</c:formatCode>
                <c:ptCount val="16"/>
                <c:pt idx="0">
                  <c:v>54.153068696493314</c:v>
                </c:pt>
                <c:pt idx="1">
                  <c:v>58.853973620691221</c:v>
                </c:pt>
                <c:pt idx="2">
                  <c:v>63.554878544889128</c:v>
                </c:pt>
                <c:pt idx="3">
                  <c:v>68.255783469087049</c:v>
                </c:pt>
                <c:pt idx="4">
                  <c:v>72.956688393284963</c:v>
                </c:pt>
                <c:pt idx="5">
                  <c:v>77.657593317482863</c:v>
                </c:pt>
                <c:pt idx="6">
                  <c:v>82.358498241680792</c:v>
                </c:pt>
                <c:pt idx="7">
                  <c:v>87.059403165878692</c:v>
                </c:pt>
                <c:pt idx="8">
                  <c:v>91.760308090076606</c:v>
                </c:pt>
                <c:pt idx="9">
                  <c:v>96.461213014274492</c:v>
                </c:pt>
                <c:pt idx="10">
                  <c:v>101.16211793847242</c:v>
                </c:pt>
                <c:pt idx="11">
                  <c:v>105.86302286267033</c:v>
                </c:pt>
                <c:pt idx="12">
                  <c:v>110.56392778686825</c:v>
                </c:pt>
                <c:pt idx="13">
                  <c:v>115.26483271106616</c:v>
                </c:pt>
                <c:pt idx="14">
                  <c:v>119.96573763526409</c:v>
                </c:pt>
                <c:pt idx="15">
                  <c:v>124.66664255946198</c:v>
                </c:pt>
              </c:numCache>
            </c:numRef>
          </c:cat>
          <c:val>
            <c:numRef>
              <c:f>'SI Table 9.3'!$N$6:$N$21</c:f>
              <c:numCache>
                <c:formatCode>General</c:formatCode>
                <c:ptCount val="16"/>
                <c:pt idx="0">
                  <c:v>112.56266423345632</c:v>
                </c:pt>
                <c:pt idx="1">
                  <c:v>120.06341430846382</c:v>
                </c:pt>
                <c:pt idx="2">
                  <c:v>127.56416438347136</c:v>
                </c:pt>
                <c:pt idx="3">
                  <c:v>135.06491445847885</c:v>
                </c:pt>
                <c:pt idx="4">
                  <c:v>142.56566453348637</c:v>
                </c:pt>
                <c:pt idx="5">
                  <c:v>150.06641460849386</c:v>
                </c:pt>
                <c:pt idx="6">
                  <c:v>157.56716468350137</c:v>
                </c:pt>
                <c:pt idx="7">
                  <c:v>165.06791475850886</c:v>
                </c:pt>
                <c:pt idx="8">
                  <c:v>172.56866483351641</c:v>
                </c:pt>
                <c:pt idx="9">
                  <c:v>180.06941490852387</c:v>
                </c:pt>
                <c:pt idx="10">
                  <c:v>187.57016498353141</c:v>
                </c:pt>
                <c:pt idx="11">
                  <c:v>195.0709150585389</c:v>
                </c:pt>
                <c:pt idx="12">
                  <c:v>202.57166513354639</c:v>
                </c:pt>
                <c:pt idx="13">
                  <c:v>210.07241520855391</c:v>
                </c:pt>
                <c:pt idx="14">
                  <c:v>217.57316528356139</c:v>
                </c:pt>
                <c:pt idx="15">
                  <c:v>225.07391535856891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1F-479E-8B9D-0DA8AA6D0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0"/>
          <c:order val="4"/>
          <c:tx>
            <c:strRef>
              <c:f>'SI Table 9.3'!$F$29</c:f>
              <c:strCache>
                <c:ptCount val="1"/>
                <c:pt idx="0">
                  <c:v>No carbon tax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6-D01F-479E-8B9D-0DA8AA6D00F8}"/>
              </c:ext>
            </c:extLst>
          </c:dPt>
          <c:dPt>
            <c:idx val="2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8-D01F-479E-8B9D-0DA8AA6D00F8}"/>
              </c:ext>
            </c:extLst>
          </c:dPt>
          <c:dPt>
            <c:idx val="3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A-D01F-479E-8B9D-0DA8AA6D00F8}"/>
              </c:ext>
            </c:extLst>
          </c:dPt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9.3'!$G$29:$V$29</c:f>
              <c:numCache>
                <c:formatCode>General</c:formatCode>
                <c:ptCount val="16"/>
                <c:pt idx="0">
                  <c:v>2.8799278846153848</c:v>
                </c:pt>
                <c:pt idx="1">
                  <c:v>3.1299278846153848</c:v>
                </c:pt>
                <c:pt idx="2">
                  <c:v>3.3799278846153853</c:v>
                </c:pt>
                <c:pt idx="3">
                  <c:v>3.6299278846153857</c:v>
                </c:pt>
                <c:pt idx="4">
                  <c:v>3.8799278846153862</c:v>
                </c:pt>
                <c:pt idx="5">
                  <c:v>4.1299278846153857</c:v>
                </c:pt>
                <c:pt idx="6">
                  <c:v>4.3799278846153857</c:v>
                </c:pt>
                <c:pt idx="7">
                  <c:v>4.6299278846153857</c:v>
                </c:pt>
                <c:pt idx="8">
                  <c:v>4.8799278846153866</c:v>
                </c:pt>
                <c:pt idx="9">
                  <c:v>5.1299278846153857</c:v>
                </c:pt>
                <c:pt idx="10">
                  <c:v>5.3799278846153866</c:v>
                </c:pt>
                <c:pt idx="11">
                  <c:v>5.6299278846153866</c:v>
                </c:pt>
                <c:pt idx="12">
                  <c:v>5.8799278846153866</c:v>
                </c:pt>
                <c:pt idx="13">
                  <c:v>6.1299278846153866</c:v>
                </c:pt>
                <c:pt idx="14">
                  <c:v>6.3799278846153875</c:v>
                </c:pt>
                <c:pt idx="15">
                  <c:v>6.6299278846153875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1F-479E-8B9D-0DA8AA6D00F8}"/>
            </c:ext>
          </c:extLst>
        </c:ser>
        <c:ser>
          <c:idx val="1"/>
          <c:order val="5"/>
          <c:tx>
            <c:strRef>
              <c:f>'SI Table 9.3'!$F$30</c:f>
              <c:strCache>
                <c:ptCount val="1"/>
                <c:pt idx="0">
                  <c:v>$60/t CO2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C-D01F-479E-8B9D-0DA8AA6D00F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D-D01F-479E-8B9D-0DA8AA6D00F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E-D01F-479E-8B9D-0DA8AA6D00F8}"/>
              </c:ext>
            </c:extLst>
          </c:dPt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9.3'!$G$30:$V$30</c:f>
              <c:numCache>
                <c:formatCode>General</c:formatCode>
                <c:ptCount val="16"/>
                <c:pt idx="0">
                  <c:v>3.0891564560439559</c:v>
                </c:pt>
                <c:pt idx="1">
                  <c:v>3.3391564560439559</c:v>
                </c:pt>
                <c:pt idx="2">
                  <c:v>3.5891564560439568</c:v>
                </c:pt>
                <c:pt idx="3">
                  <c:v>3.8391564560439568</c:v>
                </c:pt>
                <c:pt idx="4">
                  <c:v>4.0891564560439573</c:v>
                </c:pt>
                <c:pt idx="5">
                  <c:v>4.3391564560439573</c:v>
                </c:pt>
                <c:pt idx="6">
                  <c:v>4.5891564560439573</c:v>
                </c:pt>
                <c:pt idx="7">
                  <c:v>4.8391564560439573</c:v>
                </c:pt>
                <c:pt idx="8">
                  <c:v>5.0891564560439582</c:v>
                </c:pt>
                <c:pt idx="9">
                  <c:v>5.3391564560439573</c:v>
                </c:pt>
                <c:pt idx="10">
                  <c:v>5.5891564560439582</c:v>
                </c:pt>
                <c:pt idx="11">
                  <c:v>5.8391564560439582</c:v>
                </c:pt>
                <c:pt idx="12">
                  <c:v>6.0891564560439582</c:v>
                </c:pt>
                <c:pt idx="13">
                  <c:v>6.3391564560439582</c:v>
                </c:pt>
                <c:pt idx="14">
                  <c:v>6.5891564560439591</c:v>
                </c:pt>
                <c:pt idx="15">
                  <c:v>6.8391564560439591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01F-479E-8B9D-0DA8AA6D00F8}"/>
            </c:ext>
          </c:extLst>
        </c:ser>
        <c:ser>
          <c:idx val="4"/>
          <c:order val="6"/>
          <c:tx>
            <c:strRef>
              <c:f>'SI Table 9.3'!$F$31</c:f>
              <c:strCache>
                <c:ptCount val="1"/>
                <c:pt idx="0">
                  <c:v>$100/t CO2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5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11-D01F-479E-8B9D-0DA8AA6D00F8}"/>
              </c:ext>
            </c:extLst>
          </c:dPt>
          <c:dPt>
            <c:idx val="6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13-D01F-479E-8B9D-0DA8AA6D00F8}"/>
              </c:ext>
            </c:extLst>
          </c:dPt>
          <c:dPt>
            <c:idx val="7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15-D01F-479E-8B9D-0DA8AA6D00F8}"/>
              </c:ext>
            </c:extLst>
          </c:dPt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9.3'!$G$31:$V$31</c:f>
              <c:numCache>
                <c:formatCode>General</c:formatCode>
                <c:ptCount val="16"/>
                <c:pt idx="0">
                  <c:v>3.2286421703296706</c:v>
                </c:pt>
                <c:pt idx="1">
                  <c:v>3.4786421703296706</c:v>
                </c:pt>
                <c:pt idx="2">
                  <c:v>3.728642170329671</c:v>
                </c:pt>
                <c:pt idx="3">
                  <c:v>3.978642170329671</c:v>
                </c:pt>
                <c:pt idx="4">
                  <c:v>4.2286421703296719</c:v>
                </c:pt>
                <c:pt idx="5">
                  <c:v>4.4786421703296719</c:v>
                </c:pt>
                <c:pt idx="6">
                  <c:v>4.7286421703296719</c:v>
                </c:pt>
                <c:pt idx="7">
                  <c:v>4.9786421703296719</c:v>
                </c:pt>
                <c:pt idx="8">
                  <c:v>5.2286421703296728</c:v>
                </c:pt>
                <c:pt idx="9">
                  <c:v>5.4786421703296719</c:v>
                </c:pt>
                <c:pt idx="10">
                  <c:v>5.7286421703296728</c:v>
                </c:pt>
                <c:pt idx="11">
                  <c:v>5.9786421703296728</c:v>
                </c:pt>
                <c:pt idx="12">
                  <c:v>6.2286421703296728</c:v>
                </c:pt>
                <c:pt idx="13">
                  <c:v>6.4786421703296728</c:v>
                </c:pt>
                <c:pt idx="14">
                  <c:v>6.7286421703296737</c:v>
                </c:pt>
                <c:pt idx="15">
                  <c:v>6.9786421703296737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01F-479E-8B9D-0DA8AA6D00F8}"/>
            </c:ext>
          </c:extLst>
        </c:ser>
        <c:ser>
          <c:idx val="2"/>
          <c:order val="8"/>
          <c:tx>
            <c:strRef>
              <c:f>'SI Table 9.3'!$F$32</c:f>
              <c:strCache>
                <c:ptCount val="1"/>
                <c:pt idx="0">
                  <c:v>$250/t CO2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7-D01F-479E-8B9D-0DA8AA6D00F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8-D01F-479E-8B9D-0DA8AA6D00F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9-D01F-479E-8B9D-0DA8AA6D00F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A-D01F-479E-8B9D-0DA8AA6D00F8}"/>
              </c:ext>
            </c:extLst>
          </c:dPt>
          <c:cat>
            <c:numRef>
              <c:f>'SI Table 9.3'!$C$40:$C$55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9.3'!$G$32:$V$32</c:f>
              <c:numCache>
                <c:formatCode>General</c:formatCode>
                <c:ptCount val="16"/>
                <c:pt idx="0">
                  <c:v>3.751713598901099</c:v>
                </c:pt>
                <c:pt idx="1">
                  <c:v>4.001713598901099</c:v>
                </c:pt>
                <c:pt idx="2">
                  <c:v>4.2517135989010999</c:v>
                </c:pt>
                <c:pt idx="3">
                  <c:v>4.5017135989010999</c:v>
                </c:pt>
                <c:pt idx="4">
                  <c:v>4.7517135989010999</c:v>
                </c:pt>
                <c:pt idx="5">
                  <c:v>5.0017135989010999</c:v>
                </c:pt>
                <c:pt idx="6">
                  <c:v>5.2517135989010999</c:v>
                </c:pt>
                <c:pt idx="7">
                  <c:v>5.5017135989010999</c:v>
                </c:pt>
                <c:pt idx="8">
                  <c:v>5.7517135989011017</c:v>
                </c:pt>
                <c:pt idx="9">
                  <c:v>6.0017135989010999</c:v>
                </c:pt>
                <c:pt idx="10">
                  <c:v>6.2517135989011017</c:v>
                </c:pt>
                <c:pt idx="11">
                  <c:v>6.5017135989011017</c:v>
                </c:pt>
                <c:pt idx="12">
                  <c:v>6.7517135989011017</c:v>
                </c:pt>
                <c:pt idx="13">
                  <c:v>7.0017135989011017</c:v>
                </c:pt>
                <c:pt idx="14">
                  <c:v>7.2517135989011017</c:v>
                </c:pt>
                <c:pt idx="15">
                  <c:v>7.5017135989011017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01F-479E-8B9D-0DA8AA6D0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904319"/>
        <c:axId val="1"/>
      </c:lineChart>
      <c:catAx>
        <c:axId val="1898904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18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98904319"/>
        <c:crossesAt val="1"/>
        <c:crossBetween val="midCat"/>
      </c:valAx>
      <c:catAx>
        <c:axId val="3"/>
        <c:scaling>
          <c:orientation val="minMax"/>
        </c:scaling>
        <c:delete val="0"/>
        <c:axPos val="t"/>
        <c:numFmt formatCode="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"/>
        <c:crosses val="max"/>
        <c:auto val="1"/>
        <c:lblAlgn val="ctr"/>
        <c:lblOffset val="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Break-even hydrogen production cost, $/MWh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midCat"/>
      </c:valAx>
      <c:spPr>
        <a:noFill/>
        <a:ln w="12700">
          <a:solidFill>
            <a:schemeClr val="tx1">
              <a:alpha val="84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Other</a:t>
            </a:r>
          </a:p>
        </c:rich>
      </c:tx>
      <c:layout>
        <c:manualLayout>
          <c:xMode val="edge"/>
          <c:yMode val="edge"/>
          <c:x val="0.45531587779675425"/>
          <c:y val="0.12637778061990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7737998675503484"/>
          <c:w val="1"/>
          <c:h val="0.716175422357499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'SI Table 2'!$A$34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 Table 2'!$Q$34</c:f>
              <c:numCache>
                <c:formatCode>#,##0.0</c:formatCode>
                <c:ptCount val="1"/>
                <c:pt idx="0">
                  <c:v>0.13650000000000001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C-4C16-9A1F-D0C37E3421F9}"/>
            </c:ext>
          </c:extLst>
        </c:ser>
        <c:ser>
          <c:idx val="1"/>
          <c:order val="1"/>
          <c:tx>
            <c:strRef>
              <c:f>'SI Table 2'!$A$35</c:f>
              <c:strCache>
                <c:ptCount val="1"/>
                <c:pt idx="0">
                  <c:v>Hydropower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91740433951441"/>
                      <c:h val="0.208077523409541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4C-4C16-9A1F-D0C37E3421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 Table 2'!$Q$35</c:f>
              <c:numCache>
                <c:formatCode>#,##0.0</c:formatCode>
                <c:ptCount val="1"/>
                <c:pt idx="0">
                  <c:v>8.8209445499999997E-2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C-4C16-9A1F-D0C37E3421F9}"/>
            </c:ext>
          </c:extLst>
        </c:ser>
        <c:ser>
          <c:idx val="2"/>
          <c:order val="2"/>
          <c:tx>
            <c:strRef>
              <c:f>'SI Table 2'!$A$36</c:f>
              <c:strCache>
                <c:ptCount val="1"/>
                <c:pt idx="0">
                  <c:v>Battery storage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9705306475135635E-3"/>
                  <c:y val="-0.11435619610082964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061297952338622"/>
                      <c:h val="0.151350640717575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4C-4C16-9A1F-D0C37E3421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'SI Table 2'!$Q$36</c:f>
              <c:numCache>
                <c:formatCode>#,##0.0000</c:formatCode>
                <c:ptCount val="1"/>
                <c:pt idx="0">
                  <c:v>4.0800000000000003E-2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4C-4C16-9A1F-D0C37E3421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60"/>
        <c:overlap val="100"/>
        <c:axId val="134295375"/>
        <c:axId val="134295791"/>
      </c:barChart>
      <c:catAx>
        <c:axId val="1342953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4295791"/>
        <c:crosses val="autoZero"/>
        <c:auto val="1"/>
        <c:lblAlgn val="ctr"/>
        <c:lblOffset val="100"/>
        <c:noMultiLvlLbl val="0"/>
      </c:catAx>
      <c:valAx>
        <c:axId val="134295791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34295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6276833954148"/>
          <c:y val="8.1398109260011134E-2"/>
          <c:w val="0.76494967162551208"/>
          <c:h val="0.80139109830206134"/>
        </c:manualLayout>
      </c:layout>
      <c:areaChart>
        <c:grouping val="stacked"/>
        <c:varyColors val="0"/>
        <c:ser>
          <c:idx val="24"/>
          <c:order val="0"/>
          <c:tx>
            <c:strRef>
              <c:f>'SI Table 9.4'!$F$33</c:f>
              <c:strCache>
                <c:ptCount val="1"/>
                <c:pt idx="0">
                  <c:v>Base 1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9.4'!$G$33:$V$33</c:f>
              <c:numCache>
                <c:formatCode>General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3.1039423076923089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3.7039423076923086</c:v>
                </c:pt>
                <c:pt idx="8">
                  <c:v>3.9039423076923097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9-4911-9F33-5636D7E925BC}"/>
            </c:ext>
          </c:extLst>
        </c:ser>
        <c:ser>
          <c:idx val="25"/>
          <c:order val="1"/>
          <c:tx>
            <c:strRef>
              <c:f>'SI Table 9.4'!$F$34</c:f>
              <c:strCache>
                <c:ptCount val="1"/>
                <c:pt idx="0">
                  <c:v>Delta1</c:v>
                </c:pt>
              </c:strCache>
            </c:strRef>
          </c:tx>
          <c:spPr>
            <a:solidFill>
              <a:srgbClr val="00CC66">
                <a:alpha val="84706"/>
              </a:srgbClr>
            </a:solidFill>
            <a:ln>
              <a:noFill/>
            </a:ln>
            <a:effectLst/>
          </c:spPr>
          <c:cat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9.4'!$G$34:$V$34</c:f>
              <c:numCache>
                <c:formatCode>General</c:formatCode>
                <c:ptCount val="16"/>
                <c:pt idx="0">
                  <c:v>0.16198285714285721</c:v>
                </c:pt>
                <c:pt idx="1">
                  <c:v>0.16198285714285676</c:v>
                </c:pt>
                <c:pt idx="2">
                  <c:v>0.16198285714285721</c:v>
                </c:pt>
                <c:pt idx="3">
                  <c:v>0.16198285714285765</c:v>
                </c:pt>
                <c:pt idx="4">
                  <c:v>0.16198285714285676</c:v>
                </c:pt>
                <c:pt idx="5">
                  <c:v>0.16198285714285721</c:v>
                </c:pt>
                <c:pt idx="6">
                  <c:v>0.16198285714285676</c:v>
                </c:pt>
                <c:pt idx="7">
                  <c:v>0.16198285714285721</c:v>
                </c:pt>
                <c:pt idx="8">
                  <c:v>0.16198285714285721</c:v>
                </c:pt>
                <c:pt idx="9">
                  <c:v>0.16198285714285721</c:v>
                </c:pt>
                <c:pt idx="10">
                  <c:v>0.16198285714285721</c:v>
                </c:pt>
                <c:pt idx="11">
                  <c:v>0.16198285714285721</c:v>
                </c:pt>
                <c:pt idx="12">
                  <c:v>0.16198285714285721</c:v>
                </c:pt>
                <c:pt idx="13">
                  <c:v>0.16198285714285721</c:v>
                </c:pt>
                <c:pt idx="14">
                  <c:v>0.16198285714285721</c:v>
                </c:pt>
                <c:pt idx="15">
                  <c:v>0.16198285714285721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9-4911-9F33-5636D7E925BC}"/>
            </c:ext>
          </c:extLst>
        </c:ser>
        <c:ser>
          <c:idx val="26"/>
          <c:order val="2"/>
          <c:tx>
            <c:strRef>
              <c:f>'SI Table 9.4'!$F$35</c:f>
              <c:strCache>
                <c:ptCount val="1"/>
                <c:pt idx="0">
                  <c:v>Delta2</c:v>
                </c:pt>
              </c:strCache>
            </c:strRef>
          </c:tx>
          <c:spPr>
            <a:solidFill>
              <a:srgbClr val="00FA00">
                <a:alpha val="84706"/>
              </a:srgbClr>
            </a:solidFill>
            <a:ln>
              <a:noFill/>
            </a:ln>
            <a:effectLst/>
          </c:spPr>
          <c:cat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9.4'!$G$35:$V$35</c:f>
              <c:numCache>
                <c:formatCode>General</c:formatCode>
                <c:ptCount val="16"/>
                <c:pt idx="0">
                  <c:v>0.10798857142857132</c:v>
                </c:pt>
                <c:pt idx="1">
                  <c:v>0.10798857142857177</c:v>
                </c:pt>
                <c:pt idx="2">
                  <c:v>0.10798857142857132</c:v>
                </c:pt>
                <c:pt idx="3">
                  <c:v>0.10798857142857088</c:v>
                </c:pt>
                <c:pt idx="4">
                  <c:v>0.10798857142857177</c:v>
                </c:pt>
                <c:pt idx="5">
                  <c:v>0.10798857142857132</c:v>
                </c:pt>
                <c:pt idx="6">
                  <c:v>0.10798857142857177</c:v>
                </c:pt>
                <c:pt idx="7">
                  <c:v>0.10798857142857177</c:v>
                </c:pt>
                <c:pt idx="8">
                  <c:v>0.10798857142857088</c:v>
                </c:pt>
                <c:pt idx="9">
                  <c:v>0.10798857142857088</c:v>
                </c:pt>
                <c:pt idx="10">
                  <c:v>0.10798857142857177</c:v>
                </c:pt>
                <c:pt idx="11">
                  <c:v>0.10798857142857177</c:v>
                </c:pt>
                <c:pt idx="12">
                  <c:v>0.10798857142857177</c:v>
                </c:pt>
                <c:pt idx="13">
                  <c:v>0.10798857142857088</c:v>
                </c:pt>
                <c:pt idx="14">
                  <c:v>0.10798857142857177</c:v>
                </c:pt>
                <c:pt idx="15">
                  <c:v>0.10798857142857177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9-4911-9F33-5636D7E925BC}"/>
            </c:ext>
          </c:extLst>
        </c:ser>
        <c:ser>
          <c:idx val="27"/>
          <c:order val="3"/>
          <c:tx>
            <c:strRef>
              <c:f>'SI Table 9.4'!$F$36</c:f>
              <c:strCache>
                <c:ptCount val="1"/>
                <c:pt idx="0">
                  <c:v>Delta3</c:v>
                </c:pt>
              </c:strCache>
            </c:strRef>
          </c:tx>
          <c:spPr>
            <a:solidFill>
              <a:srgbClr val="88FF67">
                <a:alpha val="92941"/>
              </a:srgbClr>
            </a:solidFill>
            <a:ln>
              <a:noFill/>
            </a:ln>
            <a:effectLst/>
          </c:spPr>
          <c:cat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9.4'!$G$36:$V$36</c:f>
              <c:numCache>
                <c:formatCode>General</c:formatCode>
                <c:ptCount val="16"/>
                <c:pt idx="0">
                  <c:v>0.40495714285714302</c:v>
                </c:pt>
                <c:pt idx="1">
                  <c:v>0.40495714285714302</c:v>
                </c:pt>
                <c:pt idx="2">
                  <c:v>0.40495714285714346</c:v>
                </c:pt>
                <c:pt idx="3">
                  <c:v>0.40495714285714302</c:v>
                </c:pt>
                <c:pt idx="4">
                  <c:v>0.40495714285714257</c:v>
                </c:pt>
                <c:pt idx="5">
                  <c:v>0.40495714285714257</c:v>
                </c:pt>
                <c:pt idx="6">
                  <c:v>0.40495714285714257</c:v>
                </c:pt>
                <c:pt idx="7">
                  <c:v>0.40495714285714257</c:v>
                </c:pt>
                <c:pt idx="8">
                  <c:v>0.40495714285714346</c:v>
                </c:pt>
                <c:pt idx="9">
                  <c:v>0.40495714285714257</c:v>
                </c:pt>
                <c:pt idx="10">
                  <c:v>0.40495714285714346</c:v>
                </c:pt>
                <c:pt idx="11">
                  <c:v>0.40495714285714257</c:v>
                </c:pt>
                <c:pt idx="12">
                  <c:v>0.40495714285714257</c:v>
                </c:pt>
                <c:pt idx="13">
                  <c:v>0.40495714285714346</c:v>
                </c:pt>
                <c:pt idx="14">
                  <c:v>0.40495714285714257</c:v>
                </c:pt>
                <c:pt idx="15">
                  <c:v>0.40495714285714257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A9-4911-9F33-5636D7E92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04319"/>
        <c:axId val="1"/>
      </c:areaChart>
      <c:areaChart>
        <c:grouping val="stacked"/>
        <c:varyColors val="0"/>
        <c:ser>
          <c:idx val="5"/>
          <c:order val="7"/>
          <c:tx>
            <c:strRef>
              <c:f>'SI Table 9.4'!$F$32</c:f>
              <c:strCache>
                <c:ptCount val="1"/>
                <c:pt idx="0">
                  <c:v>$250/t CO2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'SI Table 9.4'!$E$40:$E$55</c:f>
              <c:numCache>
                <c:formatCode>0.0</c:formatCode>
                <c:ptCount val="16"/>
                <c:pt idx="0">
                  <c:v>54.153068696493314</c:v>
                </c:pt>
                <c:pt idx="1">
                  <c:v>58.853973620691221</c:v>
                </c:pt>
                <c:pt idx="2">
                  <c:v>63.554878544889128</c:v>
                </c:pt>
                <c:pt idx="3">
                  <c:v>68.255783469087049</c:v>
                </c:pt>
                <c:pt idx="4">
                  <c:v>72.956688393284963</c:v>
                </c:pt>
                <c:pt idx="5">
                  <c:v>77.657593317482863</c:v>
                </c:pt>
                <c:pt idx="6">
                  <c:v>82.358498241680792</c:v>
                </c:pt>
                <c:pt idx="7">
                  <c:v>87.059403165878692</c:v>
                </c:pt>
                <c:pt idx="8">
                  <c:v>91.760308090076606</c:v>
                </c:pt>
                <c:pt idx="9">
                  <c:v>96.461213014274492</c:v>
                </c:pt>
                <c:pt idx="10">
                  <c:v>101.16211793847242</c:v>
                </c:pt>
                <c:pt idx="11">
                  <c:v>105.86302286267033</c:v>
                </c:pt>
                <c:pt idx="12">
                  <c:v>110.56392778686825</c:v>
                </c:pt>
                <c:pt idx="13">
                  <c:v>115.26483271106616</c:v>
                </c:pt>
                <c:pt idx="14">
                  <c:v>119.96573763526409</c:v>
                </c:pt>
                <c:pt idx="15">
                  <c:v>124.66664255946198</c:v>
                </c:pt>
              </c:numCache>
            </c:numRef>
          </c:cat>
          <c:val>
            <c:numRef>
              <c:f>'SI Table 9.4'!$N$6:$N$21</c:f>
              <c:numCache>
                <c:formatCode>General</c:formatCode>
                <c:ptCount val="16"/>
                <c:pt idx="0">
                  <c:v>89.37506388001438</c:v>
                </c:pt>
                <c:pt idx="1">
                  <c:v>95.375663940020402</c:v>
                </c:pt>
                <c:pt idx="2">
                  <c:v>101.37626400002641</c:v>
                </c:pt>
                <c:pt idx="3">
                  <c:v>107.37686406003242</c:v>
                </c:pt>
                <c:pt idx="4">
                  <c:v>113.37746412003841</c:v>
                </c:pt>
                <c:pt idx="5">
                  <c:v>119.3780641800444</c:v>
                </c:pt>
                <c:pt idx="6">
                  <c:v>125.37866424005041</c:v>
                </c:pt>
                <c:pt idx="7">
                  <c:v>131.37926430005641</c:v>
                </c:pt>
                <c:pt idx="8">
                  <c:v>137.37986436006244</c:v>
                </c:pt>
                <c:pt idx="9">
                  <c:v>143.38046442006839</c:v>
                </c:pt>
                <c:pt idx="10">
                  <c:v>149.38106448007449</c:v>
                </c:pt>
                <c:pt idx="11">
                  <c:v>155.38166454008044</c:v>
                </c:pt>
                <c:pt idx="12">
                  <c:v>161.38226460008644</c:v>
                </c:pt>
                <c:pt idx="13">
                  <c:v>167.38286466009245</c:v>
                </c:pt>
                <c:pt idx="14">
                  <c:v>173.38346472009846</c:v>
                </c:pt>
                <c:pt idx="15">
                  <c:v>179.38406478010447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A9-4911-9F33-5636D7E92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0"/>
          <c:order val="4"/>
          <c:tx>
            <c:strRef>
              <c:f>'SI Table 9.4'!$F$29</c:f>
              <c:strCache>
                <c:ptCount val="1"/>
                <c:pt idx="0">
                  <c:v>No carbon tax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6-BDA9-4911-9F33-5636D7E925BC}"/>
              </c:ext>
            </c:extLst>
          </c:dPt>
          <c:dPt>
            <c:idx val="2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8-BDA9-4911-9F33-5636D7E925BC}"/>
              </c:ext>
            </c:extLst>
          </c:dPt>
          <c:dPt>
            <c:idx val="3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A-BDA9-4911-9F33-5636D7E925BC}"/>
              </c:ext>
            </c:extLst>
          </c:dPt>
          <c:cat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9.4'!$G$29:$V$29</c:f>
              <c:numCache>
                <c:formatCode>General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3.1039423076923089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3.7039423076923086</c:v>
                </c:pt>
                <c:pt idx="8">
                  <c:v>3.9039423076923097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DA9-4911-9F33-5636D7E925BC}"/>
            </c:ext>
          </c:extLst>
        </c:ser>
        <c:ser>
          <c:idx val="1"/>
          <c:order val="5"/>
          <c:tx>
            <c:strRef>
              <c:f>'SI Table 9.4'!$F$30</c:f>
              <c:strCache>
                <c:ptCount val="1"/>
                <c:pt idx="0">
                  <c:v>$60/t CO2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C-BDA9-4911-9F33-5636D7E925B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D-BDA9-4911-9F33-5636D7E925B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E-BDA9-4911-9F33-5636D7E925BC}"/>
              </c:ext>
            </c:extLst>
          </c:dPt>
          <c:cat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9.4'!$G$30:$V$30</c:f>
              <c:numCache>
                <c:formatCode>General</c:formatCode>
                <c:ptCount val="16"/>
                <c:pt idx="0">
                  <c:v>2.465925164835165</c:v>
                </c:pt>
                <c:pt idx="1">
                  <c:v>2.6659251648351647</c:v>
                </c:pt>
                <c:pt idx="2">
                  <c:v>2.8659251648351654</c:v>
                </c:pt>
                <c:pt idx="3">
                  <c:v>3.065925164835166</c:v>
                </c:pt>
                <c:pt idx="4">
                  <c:v>3.2659251648351657</c:v>
                </c:pt>
                <c:pt idx="5">
                  <c:v>3.4659251648351659</c:v>
                </c:pt>
                <c:pt idx="6">
                  <c:v>3.6659251648351656</c:v>
                </c:pt>
                <c:pt idx="7">
                  <c:v>3.8659251648351658</c:v>
                </c:pt>
                <c:pt idx="8">
                  <c:v>4.0659251648351669</c:v>
                </c:pt>
                <c:pt idx="9">
                  <c:v>4.2659251648351662</c:v>
                </c:pt>
                <c:pt idx="10">
                  <c:v>4.4659251648351663</c:v>
                </c:pt>
                <c:pt idx="11">
                  <c:v>4.6659251648351665</c:v>
                </c:pt>
                <c:pt idx="12">
                  <c:v>4.8659251648351667</c:v>
                </c:pt>
                <c:pt idx="13">
                  <c:v>5.0659251648351669</c:v>
                </c:pt>
                <c:pt idx="14">
                  <c:v>5.265925164835167</c:v>
                </c:pt>
                <c:pt idx="15">
                  <c:v>5.4659251648351672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DA9-4911-9F33-5636D7E925BC}"/>
            </c:ext>
          </c:extLst>
        </c:ser>
        <c:ser>
          <c:idx val="4"/>
          <c:order val="6"/>
          <c:tx>
            <c:strRef>
              <c:f>'SI Table 9.4'!$F$31</c:f>
              <c:strCache>
                <c:ptCount val="1"/>
                <c:pt idx="0">
                  <c:v>$100/t CO2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5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11-BDA9-4911-9F33-5636D7E925BC}"/>
              </c:ext>
            </c:extLst>
          </c:dPt>
          <c:dPt>
            <c:idx val="6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13-BDA9-4911-9F33-5636D7E925BC}"/>
              </c:ext>
            </c:extLst>
          </c:dPt>
          <c:dPt>
            <c:idx val="7"/>
            <c:bubble3D val="0"/>
            <c:spPr>
              <a:ln w="12700">
                <a:solidFill>
                  <a:schemeClr val="tx1"/>
                </a:solidFill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15-BDA9-4911-9F33-5636D7E925BC}"/>
              </c:ext>
            </c:extLst>
          </c:dPt>
          <c:cat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9.4'!$G$31:$V$31</c:f>
              <c:numCache>
                <c:formatCode>General</c:formatCode>
                <c:ptCount val="16"/>
                <c:pt idx="0">
                  <c:v>2.5739137362637363</c:v>
                </c:pt>
                <c:pt idx="1">
                  <c:v>2.7739137362637365</c:v>
                </c:pt>
                <c:pt idx="2">
                  <c:v>2.9739137362637367</c:v>
                </c:pt>
                <c:pt idx="3">
                  <c:v>3.1739137362637369</c:v>
                </c:pt>
                <c:pt idx="4">
                  <c:v>3.3739137362637375</c:v>
                </c:pt>
                <c:pt idx="5">
                  <c:v>3.5739137362637372</c:v>
                </c:pt>
                <c:pt idx="6">
                  <c:v>3.7739137362637374</c:v>
                </c:pt>
                <c:pt idx="7">
                  <c:v>3.9739137362637376</c:v>
                </c:pt>
                <c:pt idx="8">
                  <c:v>4.1739137362637377</c:v>
                </c:pt>
                <c:pt idx="9">
                  <c:v>4.373913736263737</c:v>
                </c:pt>
                <c:pt idx="10">
                  <c:v>4.5739137362637381</c:v>
                </c:pt>
                <c:pt idx="11">
                  <c:v>4.7739137362637383</c:v>
                </c:pt>
                <c:pt idx="12">
                  <c:v>4.9739137362637384</c:v>
                </c:pt>
                <c:pt idx="13">
                  <c:v>5.1739137362637377</c:v>
                </c:pt>
                <c:pt idx="14">
                  <c:v>5.3739137362637388</c:v>
                </c:pt>
                <c:pt idx="15">
                  <c:v>5.573913736263739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DA9-4911-9F33-5636D7E925BC}"/>
            </c:ext>
          </c:extLst>
        </c:ser>
        <c:ser>
          <c:idx val="2"/>
          <c:order val="8"/>
          <c:tx>
            <c:strRef>
              <c:f>'SI Table 9.4'!$F$32</c:f>
              <c:strCache>
                <c:ptCount val="1"/>
                <c:pt idx="0">
                  <c:v>$250/t CO2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7-BDA9-4911-9F33-5636D7E925B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8-BDA9-4911-9F33-5636D7E925B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9-BDA9-4911-9F33-5636D7E925B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A-BDA9-4911-9F33-5636D7E925BC}"/>
              </c:ext>
            </c:extLst>
          </c:dPt>
          <c:cat>
            <c:numRef>
              <c:f>'SI Table 9.4'!$C$40:$C$55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9.4'!$G$32:$V$32</c:f>
              <c:numCache>
                <c:formatCode>General</c:formatCode>
                <c:ptCount val="16"/>
                <c:pt idx="0">
                  <c:v>2.9788708791208793</c:v>
                </c:pt>
                <c:pt idx="1">
                  <c:v>3.1788708791208795</c:v>
                </c:pt>
                <c:pt idx="2">
                  <c:v>3.3788708791208801</c:v>
                </c:pt>
                <c:pt idx="3">
                  <c:v>3.5788708791208799</c:v>
                </c:pt>
                <c:pt idx="4">
                  <c:v>3.77887087912088</c:v>
                </c:pt>
                <c:pt idx="5">
                  <c:v>3.9788708791208798</c:v>
                </c:pt>
                <c:pt idx="6">
                  <c:v>4.17887087912088</c:v>
                </c:pt>
                <c:pt idx="7">
                  <c:v>4.3788708791208801</c:v>
                </c:pt>
                <c:pt idx="8">
                  <c:v>4.5788708791208812</c:v>
                </c:pt>
                <c:pt idx="9">
                  <c:v>4.7788708791208796</c:v>
                </c:pt>
                <c:pt idx="10">
                  <c:v>4.9788708791208816</c:v>
                </c:pt>
                <c:pt idx="11">
                  <c:v>5.1788708791208808</c:v>
                </c:pt>
                <c:pt idx="12">
                  <c:v>5.378870879120881</c:v>
                </c:pt>
                <c:pt idx="13">
                  <c:v>5.5788708791208812</c:v>
                </c:pt>
                <c:pt idx="14">
                  <c:v>5.7788708791208814</c:v>
                </c:pt>
                <c:pt idx="15">
                  <c:v>5.9788708791208816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DA9-4911-9F33-5636D7E92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904319"/>
        <c:axId val="1"/>
      </c:lineChart>
      <c:catAx>
        <c:axId val="1898904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18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98904319"/>
        <c:crossesAt val="1"/>
        <c:crossBetween val="midCat"/>
      </c:valAx>
      <c:catAx>
        <c:axId val="3"/>
        <c:scaling>
          <c:orientation val="minMax"/>
        </c:scaling>
        <c:delete val="0"/>
        <c:axPos val="t"/>
        <c:numFmt formatCode="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"/>
        <c:crosses val="max"/>
        <c:auto val="1"/>
        <c:lblAlgn val="ctr"/>
        <c:lblOffset val="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Break-even hydrogen production cost, $/MWh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midCat"/>
      </c:valAx>
      <c:spPr>
        <a:noFill/>
        <a:ln w="12700">
          <a:solidFill>
            <a:schemeClr val="tx1">
              <a:alpha val="84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6276833954148"/>
          <c:y val="8.1398109260011134E-2"/>
          <c:w val="0.76494967162551208"/>
          <c:h val="0.80139109830206134"/>
        </c:manualLayout>
      </c:layout>
      <c:areaChart>
        <c:grouping val="stacked"/>
        <c:varyColors val="0"/>
        <c:ser>
          <c:idx val="24"/>
          <c:order val="0"/>
          <c:tx>
            <c:strRef>
              <c:f>'SI Table 9.5'!$F$33</c:f>
              <c:strCache>
                <c:ptCount val="1"/>
                <c:pt idx="0">
                  <c:v>Base 1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'SI Table 9.5'!$C$40:$C$55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9.5'!$G$33:$V$33</c:f>
              <c:numCache>
                <c:formatCode>General</c:formatCode>
                <c:ptCount val="16"/>
                <c:pt idx="0">
                  <c:v>1.9199519230769231</c:v>
                </c:pt>
                <c:pt idx="1">
                  <c:v>2.08661858974359</c:v>
                </c:pt>
                <c:pt idx="2">
                  <c:v>2.2532852564102566</c:v>
                </c:pt>
                <c:pt idx="3">
                  <c:v>2.4199519230769235</c:v>
                </c:pt>
                <c:pt idx="4">
                  <c:v>2.5866185897435905</c:v>
                </c:pt>
                <c:pt idx="5">
                  <c:v>2.7532852564102575</c:v>
                </c:pt>
                <c:pt idx="6">
                  <c:v>2.919951923076924</c:v>
                </c:pt>
                <c:pt idx="7">
                  <c:v>3.0866185897435905</c:v>
                </c:pt>
                <c:pt idx="8">
                  <c:v>3.2532852564102579</c:v>
                </c:pt>
                <c:pt idx="9">
                  <c:v>3.419951923076924</c:v>
                </c:pt>
                <c:pt idx="10">
                  <c:v>3.5866185897435914</c:v>
                </c:pt>
                <c:pt idx="11">
                  <c:v>3.7532852564102579</c:v>
                </c:pt>
                <c:pt idx="12">
                  <c:v>3.9199519230769244</c:v>
                </c:pt>
                <c:pt idx="13">
                  <c:v>4.0866185897435914</c:v>
                </c:pt>
                <c:pt idx="14">
                  <c:v>4.2532852564102583</c:v>
                </c:pt>
                <c:pt idx="15">
                  <c:v>4.4199519230769253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3-426B-9A27-2A12B7671938}"/>
            </c:ext>
          </c:extLst>
        </c:ser>
        <c:ser>
          <c:idx val="25"/>
          <c:order val="1"/>
          <c:tx>
            <c:strRef>
              <c:f>'SI Table 9.5'!$F$34</c:f>
              <c:strCache>
                <c:ptCount val="1"/>
                <c:pt idx="0">
                  <c:v>Delta1</c:v>
                </c:pt>
              </c:strCache>
            </c:strRef>
          </c:tx>
          <c:spPr>
            <a:solidFill>
              <a:srgbClr val="00CC66">
                <a:alpha val="84706"/>
              </a:srgbClr>
            </a:solidFill>
            <a:ln>
              <a:noFill/>
            </a:ln>
            <a:effectLst/>
          </c:spPr>
          <c:cat>
            <c:numRef>
              <c:f>'SI Table 9.5'!$C$40:$C$55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9.5'!$G$34:$V$34</c:f>
              <c:numCache>
                <c:formatCode>General</c:formatCode>
                <c:ptCount val="16"/>
                <c:pt idx="0">
                  <c:v>0.13048571428571432</c:v>
                </c:pt>
                <c:pt idx="1">
                  <c:v>0.13048571428571387</c:v>
                </c:pt>
                <c:pt idx="2">
                  <c:v>0.13048571428571432</c:v>
                </c:pt>
                <c:pt idx="3">
                  <c:v>0.13048571428571432</c:v>
                </c:pt>
                <c:pt idx="4">
                  <c:v>0.13048571428571476</c:v>
                </c:pt>
                <c:pt idx="5">
                  <c:v>0.13048571428571432</c:v>
                </c:pt>
                <c:pt idx="6">
                  <c:v>0.13048571428571432</c:v>
                </c:pt>
                <c:pt idx="7">
                  <c:v>0.13048571428571476</c:v>
                </c:pt>
                <c:pt idx="8">
                  <c:v>0.13048571428571432</c:v>
                </c:pt>
                <c:pt idx="9">
                  <c:v>0.13048571428571432</c:v>
                </c:pt>
                <c:pt idx="10">
                  <c:v>0.13048571428571432</c:v>
                </c:pt>
                <c:pt idx="11">
                  <c:v>0.13048571428571432</c:v>
                </c:pt>
                <c:pt idx="12">
                  <c:v>0.13048571428571432</c:v>
                </c:pt>
                <c:pt idx="13">
                  <c:v>0.13048571428571432</c:v>
                </c:pt>
                <c:pt idx="14">
                  <c:v>0.13048571428571432</c:v>
                </c:pt>
                <c:pt idx="15">
                  <c:v>0.13048571428571432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3-426B-9A27-2A12B7671938}"/>
            </c:ext>
          </c:extLst>
        </c:ser>
        <c:ser>
          <c:idx val="26"/>
          <c:order val="2"/>
          <c:tx>
            <c:strRef>
              <c:f>'SI Table 9.5'!$F$35</c:f>
              <c:strCache>
                <c:ptCount val="1"/>
                <c:pt idx="0">
                  <c:v>Delta2</c:v>
                </c:pt>
              </c:strCache>
            </c:strRef>
          </c:tx>
          <c:spPr>
            <a:solidFill>
              <a:srgbClr val="00FA00">
                <a:alpha val="84706"/>
              </a:srgbClr>
            </a:solidFill>
            <a:ln>
              <a:noFill/>
            </a:ln>
            <a:effectLst/>
          </c:spPr>
          <c:cat>
            <c:numRef>
              <c:f>'SI Table 9.5'!$C$40:$C$55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9.5'!$G$35:$V$35</c:f>
              <c:numCache>
                <c:formatCode>General</c:formatCode>
                <c:ptCount val="16"/>
                <c:pt idx="0">
                  <c:v>8.6990476190476507E-2</c:v>
                </c:pt>
                <c:pt idx="1">
                  <c:v>8.6990476190476507E-2</c:v>
                </c:pt>
                <c:pt idx="2">
                  <c:v>8.6990476190476063E-2</c:v>
                </c:pt>
                <c:pt idx="3">
                  <c:v>8.6990476190476507E-2</c:v>
                </c:pt>
                <c:pt idx="4">
                  <c:v>8.6990476190475619E-2</c:v>
                </c:pt>
                <c:pt idx="5">
                  <c:v>8.6990476190475619E-2</c:v>
                </c:pt>
                <c:pt idx="6">
                  <c:v>8.6990476190476063E-2</c:v>
                </c:pt>
                <c:pt idx="7">
                  <c:v>8.6990476190475619E-2</c:v>
                </c:pt>
                <c:pt idx="8">
                  <c:v>8.6990476190476063E-2</c:v>
                </c:pt>
                <c:pt idx="9">
                  <c:v>8.6990476190476063E-2</c:v>
                </c:pt>
                <c:pt idx="10">
                  <c:v>8.6990476190475619E-2</c:v>
                </c:pt>
                <c:pt idx="11">
                  <c:v>8.6990476190476063E-2</c:v>
                </c:pt>
                <c:pt idx="12">
                  <c:v>8.6990476190476507E-2</c:v>
                </c:pt>
                <c:pt idx="13">
                  <c:v>8.6990476190475619E-2</c:v>
                </c:pt>
                <c:pt idx="14">
                  <c:v>8.6990476190475619E-2</c:v>
                </c:pt>
                <c:pt idx="15">
                  <c:v>8.6990476190475619E-2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3-426B-9A27-2A12B7671938}"/>
            </c:ext>
          </c:extLst>
        </c:ser>
        <c:ser>
          <c:idx val="27"/>
          <c:order val="3"/>
          <c:tx>
            <c:strRef>
              <c:f>'SI Table 9.5'!$F$36</c:f>
              <c:strCache>
                <c:ptCount val="1"/>
                <c:pt idx="0">
                  <c:v>Delta3</c:v>
                </c:pt>
              </c:strCache>
            </c:strRef>
          </c:tx>
          <c:spPr>
            <a:solidFill>
              <a:srgbClr val="88FF67">
                <a:alpha val="92941"/>
              </a:srgbClr>
            </a:solidFill>
            <a:ln>
              <a:noFill/>
            </a:ln>
            <a:effectLst/>
          </c:spPr>
          <c:cat>
            <c:numRef>
              <c:f>'SI Table 9.5'!$C$40:$C$55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9.5'!$G$36:$V$36</c:f>
              <c:numCache>
                <c:formatCode>General</c:formatCode>
                <c:ptCount val="16"/>
                <c:pt idx="0">
                  <c:v>0.32621428571428535</c:v>
                </c:pt>
                <c:pt idx="1">
                  <c:v>0.32621428571428579</c:v>
                </c:pt>
                <c:pt idx="2">
                  <c:v>0.32621428571428623</c:v>
                </c:pt>
                <c:pt idx="3">
                  <c:v>0.32621428571428579</c:v>
                </c:pt>
                <c:pt idx="4">
                  <c:v>0.32621428571428579</c:v>
                </c:pt>
                <c:pt idx="5">
                  <c:v>0.32621428571428579</c:v>
                </c:pt>
                <c:pt idx="6">
                  <c:v>0.32621428571428579</c:v>
                </c:pt>
                <c:pt idx="7">
                  <c:v>0.32621428571428579</c:v>
                </c:pt>
                <c:pt idx="8">
                  <c:v>0.32621428571428623</c:v>
                </c:pt>
                <c:pt idx="9">
                  <c:v>0.32621428571428579</c:v>
                </c:pt>
                <c:pt idx="10">
                  <c:v>0.32621428571428623</c:v>
                </c:pt>
                <c:pt idx="11">
                  <c:v>0.32621428571428623</c:v>
                </c:pt>
                <c:pt idx="12">
                  <c:v>0.32621428571428623</c:v>
                </c:pt>
                <c:pt idx="13">
                  <c:v>0.32621428571428623</c:v>
                </c:pt>
                <c:pt idx="14">
                  <c:v>0.32621428571428623</c:v>
                </c:pt>
                <c:pt idx="15">
                  <c:v>0.32621428571428623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33-426B-9A27-2A12B7671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09119"/>
        <c:axId val="1"/>
      </c:areaChart>
      <c:areaChart>
        <c:grouping val="stacked"/>
        <c:varyColors val="0"/>
        <c:ser>
          <c:idx val="5"/>
          <c:order val="7"/>
          <c:tx>
            <c:strRef>
              <c:f>'SI Table 9.5'!$F$32</c:f>
              <c:strCache>
                <c:ptCount val="1"/>
                <c:pt idx="0">
                  <c:v>$250/t CO2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'SI Table 9.5'!$E$40:$E$55</c:f>
              <c:numCache>
                <c:formatCode>0.0</c:formatCode>
                <c:ptCount val="16"/>
                <c:pt idx="0">
                  <c:v>54.153068696493314</c:v>
                </c:pt>
                <c:pt idx="1">
                  <c:v>58.853973620691221</c:v>
                </c:pt>
                <c:pt idx="2">
                  <c:v>63.554878544889128</c:v>
                </c:pt>
                <c:pt idx="3">
                  <c:v>68.255783469087049</c:v>
                </c:pt>
                <c:pt idx="4">
                  <c:v>72.956688393284963</c:v>
                </c:pt>
                <c:pt idx="5">
                  <c:v>77.657593317482863</c:v>
                </c:pt>
                <c:pt idx="6">
                  <c:v>82.358498241680792</c:v>
                </c:pt>
                <c:pt idx="7">
                  <c:v>87.059403165878692</c:v>
                </c:pt>
                <c:pt idx="8">
                  <c:v>91.760308090076606</c:v>
                </c:pt>
                <c:pt idx="9">
                  <c:v>96.461213014274492</c:v>
                </c:pt>
                <c:pt idx="10">
                  <c:v>101.16211793847242</c:v>
                </c:pt>
                <c:pt idx="11">
                  <c:v>105.86302286267033</c:v>
                </c:pt>
                <c:pt idx="12">
                  <c:v>110.56392778686825</c:v>
                </c:pt>
                <c:pt idx="13">
                  <c:v>115.26483271106616</c:v>
                </c:pt>
                <c:pt idx="14">
                  <c:v>119.96573763526409</c:v>
                </c:pt>
                <c:pt idx="15">
                  <c:v>124.66664255946198</c:v>
                </c:pt>
              </c:numCache>
            </c:numRef>
          </c:cat>
          <c:val>
            <c:numRef>
              <c:f>'SI Table 9.5'!$N$6:$N$21</c:f>
              <c:numCache>
                <c:formatCode>General</c:formatCode>
                <c:ptCount val="16"/>
                <c:pt idx="0">
                  <c:v>73.916663644386432</c:v>
                </c:pt>
                <c:pt idx="1">
                  <c:v>78.917163694391434</c:v>
                </c:pt>
                <c:pt idx="2">
                  <c:v>83.917663744396435</c:v>
                </c:pt>
                <c:pt idx="3">
                  <c:v>88.918163794401437</c:v>
                </c:pt>
                <c:pt idx="4">
                  <c:v>93.918663844406439</c:v>
                </c:pt>
                <c:pt idx="5">
                  <c:v>98.91916389441144</c:v>
                </c:pt>
                <c:pt idx="6">
                  <c:v>103.91966394441644</c:v>
                </c:pt>
                <c:pt idx="7">
                  <c:v>108.92016399442144</c:v>
                </c:pt>
                <c:pt idx="8">
                  <c:v>113.92066404442647</c:v>
                </c:pt>
                <c:pt idx="9">
                  <c:v>118.92116409443145</c:v>
                </c:pt>
                <c:pt idx="10">
                  <c:v>123.92166414443649</c:v>
                </c:pt>
                <c:pt idx="11">
                  <c:v>128.92216419444151</c:v>
                </c:pt>
                <c:pt idx="12">
                  <c:v>133.92266424444651</c:v>
                </c:pt>
                <c:pt idx="13">
                  <c:v>138.92316429445148</c:v>
                </c:pt>
                <c:pt idx="14">
                  <c:v>143.92366434445648</c:v>
                </c:pt>
                <c:pt idx="15">
                  <c:v>148.92416439446151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33-426B-9A27-2A12B7671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0"/>
          <c:order val="4"/>
          <c:tx>
            <c:strRef>
              <c:f>'SI Table 9.5'!$F$29</c:f>
              <c:strCache>
                <c:ptCount val="1"/>
                <c:pt idx="0">
                  <c:v>No carbon tax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6-B533-426B-9A27-2A12B7671938}"/>
              </c:ext>
            </c:extLst>
          </c:dPt>
          <c:dPt>
            <c:idx val="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8-B533-426B-9A27-2A12B7671938}"/>
              </c:ext>
            </c:extLst>
          </c:dPt>
          <c:dPt>
            <c:idx val="3"/>
            <c:bubble3D val="0"/>
            <c:spPr>
              <a:ln w="12700">
                <a:noFill/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0A-B533-426B-9A27-2A12B7671938}"/>
              </c:ext>
            </c:extLst>
          </c:dPt>
          <c:dLbls>
            <c:dLbl>
              <c:idx val="2"/>
              <c:layout>
                <c:manualLayout>
                  <c:x val="-0.12941341409080312"/>
                  <c:y val="1.7461697860406283E-2"/>
                </c:manualLayout>
              </c:layout>
              <c:tx>
                <c:rich>
                  <a:bodyPr rot="-960000" vert="horz"/>
                  <a:lstStyle/>
                  <a:p>
                    <a:pPr algn="ctr"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No CO</a:t>
                    </a:r>
                    <a:r>
                      <a:rPr lang="en-US" sz="1200" b="0" i="0" u="none" strike="noStrike" baseline="-2500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2</a:t>
                    </a: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 tax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533-426B-9A27-2A12B76719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 Table 9.5'!$C$40:$C$55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9.5'!$G$29:$V$29</c:f>
              <c:numCache>
                <c:formatCode>General</c:formatCode>
                <c:ptCount val="16"/>
                <c:pt idx="0">
                  <c:v>1.9199519230769231</c:v>
                </c:pt>
                <c:pt idx="1">
                  <c:v>2.08661858974359</c:v>
                </c:pt>
                <c:pt idx="2">
                  <c:v>2.2532852564102566</c:v>
                </c:pt>
                <c:pt idx="3">
                  <c:v>2.4199519230769235</c:v>
                </c:pt>
                <c:pt idx="4">
                  <c:v>2.5866185897435905</c:v>
                </c:pt>
                <c:pt idx="5">
                  <c:v>2.7532852564102575</c:v>
                </c:pt>
                <c:pt idx="6">
                  <c:v>2.919951923076924</c:v>
                </c:pt>
                <c:pt idx="7">
                  <c:v>3.0866185897435905</c:v>
                </c:pt>
                <c:pt idx="8">
                  <c:v>3.2532852564102579</c:v>
                </c:pt>
                <c:pt idx="9">
                  <c:v>3.419951923076924</c:v>
                </c:pt>
                <c:pt idx="10">
                  <c:v>3.5866185897435914</c:v>
                </c:pt>
                <c:pt idx="11">
                  <c:v>3.7532852564102579</c:v>
                </c:pt>
                <c:pt idx="12">
                  <c:v>3.9199519230769244</c:v>
                </c:pt>
                <c:pt idx="13">
                  <c:v>4.0866185897435914</c:v>
                </c:pt>
                <c:pt idx="14">
                  <c:v>4.2532852564102583</c:v>
                </c:pt>
                <c:pt idx="15">
                  <c:v>4.4199519230769253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33-426B-9A27-2A12B7671938}"/>
            </c:ext>
          </c:extLst>
        </c:ser>
        <c:ser>
          <c:idx val="1"/>
          <c:order val="5"/>
          <c:tx>
            <c:strRef>
              <c:f>'SI Table 9.5'!$F$30</c:f>
              <c:strCache>
                <c:ptCount val="1"/>
                <c:pt idx="0">
                  <c:v>$60/t CO2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3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B533-426B-9A27-2A12B7671938}"/>
              </c:ext>
            </c:extLst>
          </c:dPt>
          <c:dPt>
            <c:idx val="4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F-B533-426B-9A27-2A12B7671938}"/>
              </c:ext>
            </c:extLst>
          </c:dPt>
          <c:dPt>
            <c:idx val="5"/>
            <c:bubble3D val="0"/>
            <c:spPr>
              <a:ln w="12700">
                <a:noFill/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11-B533-426B-9A27-2A12B7671938}"/>
              </c:ext>
            </c:extLst>
          </c:dPt>
          <c:dLbls>
            <c:dLbl>
              <c:idx val="4"/>
              <c:layout>
                <c:manualLayout>
                  <c:x val="-0.11451373780741367"/>
                  <c:y val="1.530902484677202E-2"/>
                </c:manualLayout>
              </c:layout>
              <c:tx>
                <c:rich>
                  <a:bodyPr rot="-960000" vert="horz"/>
                  <a:lstStyle/>
                  <a:p>
                    <a:pPr algn="ctr"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$60/t CO</a:t>
                    </a:r>
                    <a:r>
                      <a:rPr lang="en-US" sz="1200" b="0" i="0" u="none" strike="noStrike" baseline="-2500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B533-426B-9A27-2A12B76719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 Table 9.5'!$C$40:$C$55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9.5'!$G$30:$V$30</c:f>
              <c:numCache>
                <c:formatCode>General</c:formatCode>
                <c:ptCount val="16"/>
                <c:pt idx="0">
                  <c:v>2.0504376373626374</c:v>
                </c:pt>
                <c:pt idx="1">
                  <c:v>2.2171043040293039</c:v>
                </c:pt>
                <c:pt idx="2">
                  <c:v>2.3837709706959709</c:v>
                </c:pt>
                <c:pt idx="3">
                  <c:v>2.5504376373626378</c:v>
                </c:pt>
                <c:pt idx="4">
                  <c:v>2.7171043040293053</c:v>
                </c:pt>
                <c:pt idx="5">
                  <c:v>2.8837709706959718</c:v>
                </c:pt>
                <c:pt idx="6">
                  <c:v>3.0504376373626383</c:v>
                </c:pt>
                <c:pt idx="7">
                  <c:v>3.2171043040293053</c:v>
                </c:pt>
                <c:pt idx="8">
                  <c:v>3.3837709706959722</c:v>
                </c:pt>
                <c:pt idx="9">
                  <c:v>3.5504376373626383</c:v>
                </c:pt>
                <c:pt idx="10">
                  <c:v>3.7171043040293057</c:v>
                </c:pt>
                <c:pt idx="11">
                  <c:v>3.8837709706959722</c:v>
                </c:pt>
                <c:pt idx="12">
                  <c:v>4.0504376373626387</c:v>
                </c:pt>
                <c:pt idx="13">
                  <c:v>4.2171043040293057</c:v>
                </c:pt>
                <c:pt idx="14">
                  <c:v>4.3837709706959727</c:v>
                </c:pt>
                <c:pt idx="15">
                  <c:v>4.5504376373626396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533-426B-9A27-2A12B7671938}"/>
            </c:ext>
          </c:extLst>
        </c:ser>
        <c:ser>
          <c:idx val="4"/>
          <c:order val="6"/>
          <c:tx>
            <c:strRef>
              <c:f>'SI Table 9.5'!$F$31</c:f>
              <c:strCache>
                <c:ptCount val="1"/>
                <c:pt idx="0">
                  <c:v>$100/t CO2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5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4-B533-426B-9A27-2A12B7671938}"/>
              </c:ext>
            </c:extLst>
          </c:dPt>
          <c:dPt>
            <c:idx val="6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6-B533-426B-9A27-2A12B7671938}"/>
              </c:ext>
            </c:extLst>
          </c:dPt>
          <c:dPt>
            <c:idx val="7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8-B533-426B-9A27-2A12B7671938}"/>
              </c:ext>
            </c:extLst>
          </c:dPt>
          <c:dLbls>
            <c:dLbl>
              <c:idx val="6"/>
              <c:layout>
                <c:manualLayout>
                  <c:x val="-0.121628198675203"/>
                  <c:y val="1.4651151484145295E-3"/>
                </c:manualLayout>
              </c:layout>
              <c:tx>
                <c:rich>
                  <a:bodyPr rot="-960000" vert="horz"/>
                  <a:lstStyle/>
                  <a:p>
                    <a:pPr algn="ctr"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$100/t CO</a:t>
                    </a:r>
                    <a:r>
                      <a:rPr lang="en-US" sz="1200" b="0" i="0" u="none" strike="noStrike" baseline="-2500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B533-426B-9A27-2A12B76719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 Table 9.5'!$C$40:$C$55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9.5'!$G$31:$V$31</c:f>
              <c:numCache>
                <c:formatCode>General</c:formatCode>
                <c:ptCount val="16"/>
                <c:pt idx="0">
                  <c:v>2.1374281135531139</c:v>
                </c:pt>
                <c:pt idx="1">
                  <c:v>2.3040947802197804</c:v>
                </c:pt>
                <c:pt idx="2">
                  <c:v>2.4707614468864469</c:v>
                </c:pt>
                <c:pt idx="3">
                  <c:v>2.6374281135531144</c:v>
                </c:pt>
                <c:pt idx="4">
                  <c:v>2.8040947802197809</c:v>
                </c:pt>
                <c:pt idx="5">
                  <c:v>2.9707614468864474</c:v>
                </c:pt>
                <c:pt idx="6">
                  <c:v>3.1374281135531144</c:v>
                </c:pt>
                <c:pt idx="7">
                  <c:v>3.3040947802197809</c:v>
                </c:pt>
                <c:pt idx="8">
                  <c:v>3.4707614468864483</c:v>
                </c:pt>
                <c:pt idx="9">
                  <c:v>3.6374281135531144</c:v>
                </c:pt>
                <c:pt idx="10">
                  <c:v>3.8040947802197813</c:v>
                </c:pt>
                <c:pt idx="11">
                  <c:v>3.9707614468864483</c:v>
                </c:pt>
                <c:pt idx="12">
                  <c:v>4.1374281135531152</c:v>
                </c:pt>
                <c:pt idx="13">
                  <c:v>4.3040947802197813</c:v>
                </c:pt>
                <c:pt idx="14">
                  <c:v>4.4707614468864483</c:v>
                </c:pt>
                <c:pt idx="15">
                  <c:v>4.6374281135531152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533-426B-9A27-2A12B7671938}"/>
            </c:ext>
          </c:extLst>
        </c:ser>
        <c:ser>
          <c:idx val="2"/>
          <c:order val="8"/>
          <c:tx>
            <c:strRef>
              <c:f>'SI Table 9.5'!$F$32</c:f>
              <c:strCache>
                <c:ptCount val="1"/>
                <c:pt idx="0">
                  <c:v>$250/t CO2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A-B533-426B-9A27-2A12B7671938}"/>
              </c:ext>
            </c:extLst>
          </c:dPt>
          <c:dPt>
            <c:idx val="7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C-B533-426B-9A27-2A12B7671938}"/>
              </c:ext>
            </c:extLst>
          </c:dPt>
          <c:dPt>
            <c:idx val="8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E-B533-426B-9A27-2A12B7671938}"/>
              </c:ext>
            </c:extLst>
          </c:dPt>
          <c:dPt>
            <c:idx val="9"/>
            <c:bubble3D val="0"/>
            <c:spPr>
              <a:ln w="12700">
                <a:noFill/>
                <a:prstDash val="lgDash"/>
              </a:ln>
            </c:spPr>
            <c:extLst>
              <c:ext xmlns:c16="http://schemas.microsoft.com/office/drawing/2014/chart" uri="{C3380CC4-5D6E-409C-BE32-E72D297353CC}">
                <c16:uniqueId val="{00000020-B533-426B-9A27-2A12B7671938}"/>
              </c:ext>
            </c:extLst>
          </c:dPt>
          <c:dLbls>
            <c:dLbl>
              <c:idx val="8"/>
              <c:layout>
                <c:manualLayout>
                  <c:x val="-0.12323021674645783"/>
                  <c:y val="2.549865690761936E-3"/>
                </c:manualLayout>
              </c:layout>
              <c:tx>
                <c:rich>
                  <a:bodyPr rot="-960000" vert="horz"/>
                  <a:lstStyle/>
                  <a:p>
                    <a:pPr algn="ctr">
                      <a:defRPr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$250/t CO</a:t>
                    </a:r>
                    <a:r>
                      <a:rPr lang="en-US" sz="1200" b="0" i="0" u="none" strike="noStrike" baseline="-2500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B533-426B-9A27-2A12B76719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 Table 9.5'!$C$40:$C$55</c:f>
              <c:numCache>
                <c:formatCode>0.0</c:formatCode>
                <c:ptCount val="16"/>
                <c:pt idx="0">
                  <c:v>2.3039423076923078</c:v>
                </c:pt>
                <c:pt idx="1">
                  <c:v>2.503942307692308</c:v>
                </c:pt>
                <c:pt idx="2">
                  <c:v>2.7039423076923081</c:v>
                </c:pt>
                <c:pt idx="3">
                  <c:v>2.9039423076923083</c:v>
                </c:pt>
                <c:pt idx="4">
                  <c:v>3.1039423076923085</c:v>
                </c:pt>
                <c:pt idx="5">
                  <c:v>3.3039423076923087</c:v>
                </c:pt>
                <c:pt idx="6">
                  <c:v>3.5039423076923089</c:v>
                </c:pt>
                <c:pt idx="7">
                  <c:v>3.703942307692309</c:v>
                </c:pt>
                <c:pt idx="8">
                  <c:v>3.9039423076923092</c:v>
                </c:pt>
                <c:pt idx="9">
                  <c:v>4.1039423076923089</c:v>
                </c:pt>
                <c:pt idx="10">
                  <c:v>4.3039423076923091</c:v>
                </c:pt>
                <c:pt idx="11">
                  <c:v>4.5039423076923093</c:v>
                </c:pt>
                <c:pt idx="12">
                  <c:v>4.7039423076923095</c:v>
                </c:pt>
                <c:pt idx="13">
                  <c:v>4.9039423076923097</c:v>
                </c:pt>
                <c:pt idx="14">
                  <c:v>5.1039423076923098</c:v>
                </c:pt>
                <c:pt idx="15">
                  <c:v>5.30394230769231</c:v>
                </c:pt>
              </c:numCache>
            </c:numRef>
          </c:cat>
          <c:val>
            <c:numRef>
              <c:f>'SI Table 9.5'!$G$32:$V$32</c:f>
              <c:numCache>
                <c:formatCode>General</c:formatCode>
                <c:ptCount val="16"/>
                <c:pt idx="0">
                  <c:v>2.4636423992673993</c:v>
                </c:pt>
                <c:pt idx="1">
                  <c:v>2.6303090659340662</c:v>
                </c:pt>
                <c:pt idx="2">
                  <c:v>2.7969757326007332</c:v>
                </c:pt>
                <c:pt idx="3">
                  <c:v>2.9636423992674001</c:v>
                </c:pt>
                <c:pt idx="4">
                  <c:v>3.1303090659340667</c:v>
                </c:pt>
                <c:pt idx="5">
                  <c:v>3.2969757326007332</c:v>
                </c:pt>
                <c:pt idx="6">
                  <c:v>3.4636423992674001</c:v>
                </c:pt>
                <c:pt idx="7">
                  <c:v>3.6303090659340667</c:v>
                </c:pt>
                <c:pt idx="8">
                  <c:v>3.7969757326007345</c:v>
                </c:pt>
                <c:pt idx="9">
                  <c:v>3.9636423992674001</c:v>
                </c:pt>
                <c:pt idx="10">
                  <c:v>4.1303090659340675</c:v>
                </c:pt>
                <c:pt idx="11">
                  <c:v>4.2969757326007345</c:v>
                </c:pt>
                <c:pt idx="12">
                  <c:v>4.4636423992674015</c:v>
                </c:pt>
                <c:pt idx="13">
                  <c:v>4.6303090659340675</c:v>
                </c:pt>
                <c:pt idx="14">
                  <c:v>4.7969757326007345</c:v>
                </c:pt>
                <c:pt idx="15">
                  <c:v>4.9636423992674015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B533-426B-9A27-2A12B7671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909119"/>
        <c:axId val="1"/>
      </c:lineChart>
      <c:catAx>
        <c:axId val="1898909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18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98909119"/>
        <c:crossesAt val="1"/>
        <c:crossBetween val="midCat"/>
      </c:valAx>
      <c:catAx>
        <c:axId val="3"/>
        <c:scaling>
          <c:orientation val="minMax"/>
        </c:scaling>
        <c:delete val="0"/>
        <c:axPos val="t"/>
        <c:numFmt formatCode="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"/>
        <c:crosses val="max"/>
        <c:auto val="1"/>
        <c:lblAlgn val="ctr"/>
        <c:lblOffset val="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Break-even hydrogen production cost, $/MWh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midCat"/>
      </c:valAx>
      <c:spPr>
        <a:noFill/>
        <a:ln w="12700">
          <a:solidFill>
            <a:schemeClr val="tx1">
              <a:alpha val="84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 Table 3.1'!$B$2</c:f>
              <c:strCache>
                <c:ptCount val="1"/>
                <c:pt idx="0">
                  <c:v>Cp, J/K*mol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4.9951053415620342E-4"/>
                  <c:y val="-1.970400510389918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'SI Table 3.1'!$A$3:$A$17</c:f>
              <c:numCache>
                <c:formatCode>General</c:formatCode>
                <c:ptCount val="15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</c:numCache>
            </c:numRef>
          </c:xVal>
          <c:yVal>
            <c:numRef>
              <c:f>'SI Table 3.1'!$B$3:$B$17</c:f>
              <c:numCache>
                <c:formatCode>General</c:formatCode>
                <c:ptCount val="15"/>
                <c:pt idx="0">
                  <c:v>35.707999999999998</c:v>
                </c:pt>
                <c:pt idx="1">
                  <c:v>37.874000000000002</c:v>
                </c:pt>
                <c:pt idx="2">
                  <c:v>40.5</c:v>
                </c:pt>
                <c:pt idx="3">
                  <c:v>43.374000000000002</c:v>
                </c:pt>
                <c:pt idx="4">
                  <c:v>46.341999999999999</c:v>
                </c:pt>
                <c:pt idx="5">
                  <c:v>52.226999999999997</c:v>
                </c:pt>
                <c:pt idx="6">
                  <c:v>57.793999999999997</c:v>
                </c:pt>
                <c:pt idx="7">
                  <c:v>62.932000000000002</c:v>
                </c:pt>
                <c:pt idx="8">
                  <c:v>67.600999999999999</c:v>
                </c:pt>
                <c:pt idx="9">
                  <c:v>71.795000000000002</c:v>
                </c:pt>
                <c:pt idx="10">
                  <c:v>75.528999999999996</c:v>
                </c:pt>
                <c:pt idx="11">
                  <c:v>78.832999999999998</c:v>
                </c:pt>
                <c:pt idx="12">
                  <c:v>81.744</c:v>
                </c:pt>
                <c:pt idx="13">
                  <c:v>84.305000000000007</c:v>
                </c:pt>
                <c:pt idx="14">
                  <c:v>86.555999999999997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E0-46D2-AAAE-A1209963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634047"/>
        <c:axId val="741947423"/>
      </c:scatterChart>
      <c:valAx>
        <c:axId val="734634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Temperature, 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947423"/>
        <c:crosses val="autoZero"/>
        <c:crossBetween val="midCat"/>
      </c:valAx>
      <c:valAx>
        <c:axId val="741947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Heat capcity, J/K*mol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634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 Table 3.2'!$B$2</c:f>
              <c:strCache>
                <c:ptCount val="1"/>
                <c:pt idx="0">
                  <c:v>Cp, J/K*mol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6.3115726750372414E-2"/>
                  <c:y val="-9.455321094696637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'SI Table 3.2'!$A$3:$A$17</c:f>
              <c:numCache>
                <c:formatCode>General</c:formatCode>
                <c:ptCount val="15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</c:numCache>
            </c:numRef>
          </c:xVal>
          <c:yVal>
            <c:numRef>
              <c:f>'SI Table 3.2'!$B$3:$B$17</c:f>
              <c:numCache>
                <c:formatCode>General</c:formatCode>
                <c:ptCount val="15"/>
                <c:pt idx="0">
                  <c:v>8.5809999999999995</c:v>
                </c:pt>
                <c:pt idx="1">
                  <c:v>10.241</c:v>
                </c:pt>
                <c:pt idx="2">
                  <c:v>11.817</c:v>
                </c:pt>
                <c:pt idx="3">
                  <c:v>13.289</c:v>
                </c:pt>
                <c:pt idx="4">
                  <c:v>14.622999999999999</c:v>
                </c:pt>
                <c:pt idx="5">
                  <c:v>16.844000000000001</c:v>
                </c:pt>
                <c:pt idx="6">
                  <c:v>18.536999999999999</c:v>
                </c:pt>
                <c:pt idx="7">
                  <c:v>19.827000000000002</c:v>
                </c:pt>
                <c:pt idx="8">
                  <c:v>20.824000000000002</c:v>
                </c:pt>
                <c:pt idx="9">
                  <c:v>21.61</c:v>
                </c:pt>
                <c:pt idx="10">
                  <c:v>22.244</c:v>
                </c:pt>
                <c:pt idx="11">
                  <c:v>22.765999999999998</c:v>
                </c:pt>
                <c:pt idx="12">
                  <c:v>23.204000000000001</c:v>
                </c:pt>
                <c:pt idx="13">
                  <c:v>23.577999999999999</c:v>
                </c:pt>
                <c:pt idx="14">
                  <c:v>23.904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EF-4E92-890A-868E20D1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634047"/>
        <c:axId val="741947423"/>
      </c:scatterChart>
      <c:valAx>
        <c:axId val="734634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Temperature, 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947423"/>
        <c:crosses val="autoZero"/>
        <c:crossBetween val="midCat"/>
      </c:valAx>
      <c:valAx>
        <c:axId val="741947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Heat capcity, </a:t>
                </a:r>
                <a:r>
                  <a:rPr lang="en-US" sz="1400" b="0" i="0" u="none" strike="noStrike" kern="1200" baseline="0">
                    <a:solidFill>
                      <a:sysClr val="windowText" lastClr="000000"/>
                    </a:solidFill>
                  </a:rPr>
                  <a:t>J/K*mol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634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 Table 3.3'!$B$2</c:f>
              <c:strCache>
                <c:ptCount val="1"/>
                <c:pt idx="0">
                  <c:v>Cp, J/K*mol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'SI Table 3.3'!$A$3:$A$17</c:f>
              <c:numCache>
                <c:formatCode>General</c:formatCode>
                <c:ptCount val="15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</c:numCache>
            </c:numRef>
          </c:xVal>
          <c:yVal>
            <c:numRef>
              <c:f>'SI Table 3.3'!$B$3:$B$17</c:f>
              <c:numCache>
                <c:formatCode>General</c:formatCode>
                <c:ptCount val="15"/>
                <c:pt idx="0">
                  <c:v>28.849</c:v>
                </c:pt>
                <c:pt idx="1">
                  <c:v>29.081</c:v>
                </c:pt>
                <c:pt idx="2">
                  <c:v>29.181000000000001</c:v>
                </c:pt>
                <c:pt idx="3">
                  <c:v>29.228999999999999</c:v>
                </c:pt>
                <c:pt idx="4">
                  <c:v>29.26</c:v>
                </c:pt>
                <c:pt idx="5">
                  <c:v>29.327000000000002</c:v>
                </c:pt>
                <c:pt idx="6">
                  <c:v>29.440999999999999</c:v>
                </c:pt>
                <c:pt idx="7">
                  <c:v>29.623999999999999</c:v>
                </c:pt>
                <c:pt idx="8">
                  <c:v>29.881</c:v>
                </c:pt>
                <c:pt idx="9">
                  <c:v>30.204999999999998</c:v>
                </c:pt>
                <c:pt idx="10">
                  <c:v>30.581</c:v>
                </c:pt>
                <c:pt idx="11">
                  <c:v>30.992000000000001</c:v>
                </c:pt>
                <c:pt idx="12">
                  <c:v>31.422999999999998</c:v>
                </c:pt>
                <c:pt idx="13">
                  <c:v>31.861000000000001</c:v>
                </c:pt>
                <c:pt idx="14">
                  <c:v>32.298000000000002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67-4A26-987C-426347640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634047"/>
        <c:axId val="741947423"/>
      </c:scatterChart>
      <c:valAx>
        <c:axId val="734634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Temperature, 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947423"/>
        <c:crosses val="autoZero"/>
        <c:crossBetween val="midCat"/>
      </c:valAx>
      <c:valAx>
        <c:axId val="741947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Heat capcity, J/K*mol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634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[1]Methane!$B$1</c:f>
              <c:strCache>
                <c:ptCount val="1"/>
                <c:pt idx="0">
                  <c:v>Cp, J/K*mol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4.2358796116691508E-2"/>
                  <c:y val="-2.60693548939740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[1]Methane!$A$2:$A$16</c:f>
              <c:numCache>
                <c:formatCode>General</c:formatCode>
                <c:ptCount val="15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</c:numCache>
            </c:numRef>
          </c:xVal>
          <c:yVal>
            <c:numRef>
              <c:f>[1]Methane!$B$2:$B$16</c:f>
              <c:numCache>
                <c:formatCode>General</c:formatCode>
                <c:ptCount val="15"/>
                <c:pt idx="0">
                  <c:v>35.707999999999998</c:v>
                </c:pt>
                <c:pt idx="1">
                  <c:v>37.874000000000002</c:v>
                </c:pt>
                <c:pt idx="2">
                  <c:v>40.5</c:v>
                </c:pt>
                <c:pt idx="3">
                  <c:v>43.374000000000002</c:v>
                </c:pt>
                <c:pt idx="4">
                  <c:v>46.341999999999999</c:v>
                </c:pt>
                <c:pt idx="5">
                  <c:v>52.226999999999997</c:v>
                </c:pt>
                <c:pt idx="6">
                  <c:v>57.793999999999997</c:v>
                </c:pt>
                <c:pt idx="7">
                  <c:v>62.932000000000002</c:v>
                </c:pt>
                <c:pt idx="8">
                  <c:v>67.600999999999999</c:v>
                </c:pt>
                <c:pt idx="9">
                  <c:v>71.795000000000002</c:v>
                </c:pt>
                <c:pt idx="10">
                  <c:v>75.528999999999996</c:v>
                </c:pt>
                <c:pt idx="11">
                  <c:v>78.832999999999998</c:v>
                </c:pt>
                <c:pt idx="12">
                  <c:v>81.744</c:v>
                </c:pt>
                <c:pt idx="13">
                  <c:v>84.305000000000007</c:v>
                </c:pt>
                <c:pt idx="14">
                  <c:v>86.555999999999997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12-4965-95B1-051D52276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634047"/>
        <c:axId val="741947423"/>
      </c:scatterChart>
      <c:valAx>
        <c:axId val="734634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Temperature, 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947423"/>
        <c:crosses val="autoZero"/>
        <c:crossBetween val="midCat"/>
      </c:valAx>
      <c:valAx>
        <c:axId val="741947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Heat capcity, J/K*mol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634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 Table 3.5'!$B$2</c:f>
              <c:strCache>
                <c:ptCount val="1"/>
                <c:pt idx="0">
                  <c:v>Cp, J/K*mol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5.7744436834660233E-2"/>
                  <c:y val="0.103451116508278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'SI Table 3.5'!$A$3:$A$20</c:f>
              <c:numCache>
                <c:formatCode>General</c:formatCode>
                <c:ptCount val="18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550</c:v>
                </c:pt>
                <c:pt idx="6">
                  <c:v>600</c:v>
                </c:pt>
                <c:pt idx="7">
                  <c:v>650</c:v>
                </c:pt>
                <c:pt idx="8">
                  <c:v>700</c:v>
                </c:pt>
                <c:pt idx="9">
                  <c:v>750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  <c:pt idx="13">
                  <c:v>1100</c:v>
                </c:pt>
                <c:pt idx="14">
                  <c:v>1200</c:v>
                </c:pt>
                <c:pt idx="15">
                  <c:v>1300</c:v>
                </c:pt>
                <c:pt idx="16">
                  <c:v>1400</c:v>
                </c:pt>
                <c:pt idx="17">
                  <c:v>1500</c:v>
                </c:pt>
              </c:numCache>
            </c:numRef>
          </c:xVal>
          <c:yVal>
            <c:numRef>
              <c:f>'SI Table 3.5'!$B$3:$B$20</c:f>
              <c:numCache>
                <c:formatCode>0.000</c:formatCode>
                <c:ptCount val="18"/>
                <c:pt idx="0">
                  <c:v>0.71799999999999997</c:v>
                </c:pt>
                <c:pt idx="1">
                  <c:v>0.72099999999999997</c:v>
                </c:pt>
                <c:pt idx="2">
                  <c:v>0.72599999999999998</c:v>
                </c:pt>
                <c:pt idx="3">
                  <c:v>0.73299999999999998</c:v>
                </c:pt>
                <c:pt idx="4">
                  <c:v>0.74199999999999999</c:v>
                </c:pt>
                <c:pt idx="5">
                  <c:v>0.753</c:v>
                </c:pt>
                <c:pt idx="6">
                  <c:v>0.76400000000000001</c:v>
                </c:pt>
                <c:pt idx="7">
                  <c:v>0.77600000000000002</c:v>
                </c:pt>
                <c:pt idx="8">
                  <c:v>0.78800000000000003</c:v>
                </c:pt>
                <c:pt idx="9">
                  <c:v>0.8</c:v>
                </c:pt>
                <c:pt idx="10">
                  <c:v>0.81200000000000006</c:v>
                </c:pt>
                <c:pt idx="11">
                  <c:v>0.83399999999999996</c:v>
                </c:pt>
                <c:pt idx="12">
                  <c:v>0.85499999999999998</c:v>
                </c:pt>
                <c:pt idx="13">
                  <c:v>0.86799999999999999</c:v>
                </c:pt>
                <c:pt idx="14">
                  <c:v>0.88600000000000001</c:v>
                </c:pt>
                <c:pt idx="15">
                  <c:v>0.90300000000000002</c:v>
                </c:pt>
                <c:pt idx="16">
                  <c:v>0.91700000000000004</c:v>
                </c:pt>
                <c:pt idx="17">
                  <c:v>0.92900000000000005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94-479E-8D48-40B678DCA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949967"/>
        <c:axId val="1475645151"/>
      </c:scatterChart>
      <c:valAx>
        <c:axId val="1055949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Temperature, 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645151"/>
        <c:crosses val="autoZero"/>
        <c:crossBetween val="midCat"/>
      </c:valAx>
      <c:valAx>
        <c:axId val="147564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Heat Capacity, J/K*mol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9499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18588433355051E-2"/>
          <c:y val="4.1004719451784702E-2"/>
          <c:w val="0.90837929417436203"/>
          <c:h val="0.7278971654620152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'SI Table 5'!$D$2</c:f>
              <c:strCache>
                <c:ptCount val="1"/>
                <c:pt idx="0">
                  <c:v>Reductant preheat production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'SI Table 5'!$A$3:$B$19</c:f>
              <c:multiLvlStrCache>
                <c:ptCount val="17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  <c:pt idx="12">
                    <c:v>min</c:v>
                  </c:pt>
                  <c:pt idx="13">
                    <c:v>max</c:v>
                  </c:pt>
                  <c:pt idx="15">
                    <c:v>min</c:v>
                  </c:pt>
                  <c:pt idx="16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NG Grid</c:v>
                  </c:pt>
                  <c:pt idx="12">
                    <c:v>H2: 100% Coal Grid</c:v>
                  </c:pt>
                  <c:pt idx="14">
                    <c:v>H2: US 2016 Grid</c:v>
                  </c:pt>
                  <c:pt idx="15">
                    <c:v>H2: 100% RE grid</c:v>
                  </c:pt>
                </c:lvl>
              </c:multiLvlStrCache>
            </c:multiLvlStrRef>
          </c:cat>
          <c:val>
            <c:numRef>
              <c:f>'SI Table 5'!$D$3:$D$19</c:f>
              <c:numCache>
                <c:formatCode>0.0</c:formatCode>
                <c:ptCount val="17"/>
                <c:pt idx="0">
                  <c:v>1.0960000000000001</c:v>
                </c:pt>
                <c:pt idx="1">
                  <c:v>1.6440000000000001</c:v>
                </c:pt>
                <c:pt idx="2">
                  <c:v>0.31900000000000001</c:v>
                </c:pt>
                <c:pt idx="3">
                  <c:v>1.2121999999999999</c:v>
                </c:pt>
                <c:pt idx="4">
                  <c:v>9.48</c:v>
                </c:pt>
                <c:pt idx="5">
                  <c:v>28.44</c:v>
                </c:pt>
                <c:pt idx="6">
                  <c:v>5.9250000000000007</c:v>
                </c:pt>
                <c:pt idx="7">
                  <c:v>16.59</c:v>
                </c:pt>
                <c:pt idx="8">
                  <c:v>3.5550000000000002</c:v>
                </c:pt>
                <c:pt idx="9">
                  <c:v>7.11</c:v>
                </c:pt>
                <c:pt idx="10">
                  <c:v>35.550000000000004</c:v>
                </c:pt>
                <c:pt idx="11">
                  <c:v>82.95</c:v>
                </c:pt>
                <c:pt idx="12">
                  <c:v>106.65</c:v>
                </c:pt>
                <c:pt idx="13">
                  <c:v>118.5</c:v>
                </c:pt>
                <c:pt idx="14">
                  <c:v>56.394149999999996</c:v>
                </c:pt>
                <c:pt idx="15">
                  <c:v>0.59250000000000003</c:v>
                </c:pt>
                <c:pt idx="16">
                  <c:v>1.0665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3-4168-A075-A349284C904F}"/>
            </c:ext>
          </c:extLst>
        </c:ser>
        <c:ser>
          <c:idx val="3"/>
          <c:order val="1"/>
          <c:tx>
            <c:strRef>
              <c:f>'SI Table 5'!$F$2</c:f>
              <c:strCache>
                <c:ptCount val="1"/>
                <c:pt idx="0">
                  <c:v>Reductant production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multiLvlStrRef>
              <c:f>'SI Table 5'!$A$3:$B$19</c:f>
              <c:multiLvlStrCache>
                <c:ptCount val="17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  <c:pt idx="12">
                    <c:v>min</c:v>
                  </c:pt>
                  <c:pt idx="13">
                    <c:v>max</c:v>
                  </c:pt>
                  <c:pt idx="15">
                    <c:v>min</c:v>
                  </c:pt>
                  <c:pt idx="16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NG Grid</c:v>
                  </c:pt>
                  <c:pt idx="12">
                    <c:v>H2: 100% Coal Grid</c:v>
                  </c:pt>
                  <c:pt idx="14">
                    <c:v>H2: US 2016 Grid</c:v>
                  </c:pt>
                  <c:pt idx="15">
                    <c:v>H2: 100% RE grid</c:v>
                  </c:pt>
                </c:lvl>
              </c:multiLvlStrCache>
            </c:multiLvlStrRef>
          </c:cat>
          <c:val>
            <c:numRef>
              <c:f>'SI Table 5'!$F$3:$F$19</c:f>
              <c:numCache>
                <c:formatCode>0.0</c:formatCode>
                <c:ptCount val="17"/>
                <c:pt idx="0">
                  <c:v>12.600000000000001</c:v>
                </c:pt>
                <c:pt idx="1">
                  <c:v>18.899999999999999</c:v>
                </c:pt>
                <c:pt idx="2">
                  <c:v>4.7240000000000002</c:v>
                </c:pt>
                <c:pt idx="3">
                  <c:v>17.9512</c:v>
                </c:pt>
                <c:pt idx="4">
                  <c:v>63</c:v>
                </c:pt>
                <c:pt idx="5">
                  <c:v>189</c:v>
                </c:pt>
                <c:pt idx="6">
                  <c:v>39.375</c:v>
                </c:pt>
                <c:pt idx="7">
                  <c:v>110.25</c:v>
                </c:pt>
                <c:pt idx="8">
                  <c:v>23.625</c:v>
                </c:pt>
                <c:pt idx="9">
                  <c:v>47.25</c:v>
                </c:pt>
                <c:pt idx="10">
                  <c:v>236.25</c:v>
                </c:pt>
                <c:pt idx="11">
                  <c:v>551.25</c:v>
                </c:pt>
                <c:pt idx="12">
                  <c:v>708.75</c:v>
                </c:pt>
                <c:pt idx="13">
                  <c:v>787.5</c:v>
                </c:pt>
                <c:pt idx="14">
                  <c:v>374.77124999999995</c:v>
                </c:pt>
                <c:pt idx="15">
                  <c:v>3.9375</c:v>
                </c:pt>
                <c:pt idx="16">
                  <c:v>7.0874999999999995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3-4168-A075-A349284C904F}"/>
            </c:ext>
          </c:extLst>
        </c:ser>
        <c:ser>
          <c:idx val="0"/>
          <c:order val="2"/>
          <c:tx>
            <c:strRef>
              <c:f>'SI Table 5'!$C$2</c:f>
              <c:strCache>
                <c:ptCount val="1"/>
                <c:pt idx="0">
                  <c:v>Reductant preheat combustion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multiLvlStrRef>
              <c:f>'SI Table 5'!$A$3:$B$19</c:f>
              <c:multiLvlStrCache>
                <c:ptCount val="17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  <c:pt idx="12">
                    <c:v>min</c:v>
                  </c:pt>
                  <c:pt idx="13">
                    <c:v>max</c:v>
                  </c:pt>
                  <c:pt idx="15">
                    <c:v>min</c:v>
                  </c:pt>
                  <c:pt idx="16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NG Grid</c:v>
                  </c:pt>
                  <c:pt idx="12">
                    <c:v>H2: 100% Coal Grid</c:v>
                  </c:pt>
                  <c:pt idx="14">
                    <c:v>H2: US 2016 Grid</c:v>
                  </c:pt>
                  <c:pt idx="15">
                    <c:v>H2: 100% RE grid</c:v>
                  </c:pt>
                </c:lvl>
              </c:multiLvlStrCache>
            </c:multiLvlStrRef>
          </c:cat>
          <c:val>
            <c:numRef>
              <c:f>'SI Table 5'!$C$3:$C$19</c:f>
              <c:numCache>
                <c:formatCode>0.0</c:formatCode>
                <c:ptCount val="17"/>
                <c:pt idx="0">
                  <c:v>7.5350000000000001</c:v>
                </c:pt>
                <c:pt idx="1">
                  <c:v>7.5350000000000001</c:v>
                </c:pt>
                <c:pt idx="2">
                  <c:v>11.696666666666665</c:v>
                </c:pt>
                <c:pt idx="3">
                  <c:v>11.696666666666665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3-4168-A075-A349284C904F}"/>
            </c:ext>
          </c:extLst>
        </c:ser>
        <c:ser>
          <c:idx val="2"/>
          <c:order val="3"/>
          <c:tx>
            <c:strRef>
              <c:f>'SI Table 5'!$E$2</c:f>
              <c:strCache>
                <c:ptCount val="1"/>
                <c:pt idx="0">
                  <c:v>Reductant in reaction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'SI Table 5'!$A$3:$B$19</c:f>
              <c:multiLvlStrCache>
                <c:ptCount val="17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  <c:pt idx="12">
                    <c:v>min</c:v>
                  </c:pt>
                  <c:pt idx="13">
                    <c:v>max</c:v>
                  </c:pt>
                  <c:pt idx="15">
                    <c:v>min</c:v>
                  </c:pt>
                  <c:pt idx="16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NG Grid</c:v>
                  </c:pt>
                  <c:pt idx="12">
                    <c:v>H2: 100% Coal Grid</c:v>
                  </c:pt>
                  <c:pt idx="14">
                    <c:v>H2: US 2016 Grid</c:v>
                  </c:pt>
                  <c:pt idx="15">
                    <c:v>H2: 100% RE grid</c:v>
                  </c:pt>
                </c:lvl>
              </c:multiLvlStrCache>
            </c:multiLvlStrRef>
          </c:cat>
          <c:val>
            <c:numRef>
              <c:f>'SI Table 5'!$E$3:$E$19</c:f>
              <c:numCache>
                <c:formatCode>0.0</c:formatCode>
                <c:ptCount val="17"/>
                <c:pt idx="0">
                  <c:v>86.625</c:v>
                </c:pt>
                <c:pt idx="1">
                  <c:v>86.625</c:v>
                </c:pt>
                <c:pt idx="2">
                  <c:v>174.78800000000001</c:v>
                </c:pt>
                <c:pt idx="3">
                  <c:v>174.78800000000001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3-4168-A075-A349284C904F}"/>
            </c:ext>
          </c:extLst>
        </c:ser>
        <c:ser>
          <c:idx val="4"/>
          <c:order val="4"/>
          <c:tx>
            <c:strRef>
              <c:f>'SI Table 5'!$H$2</c:f>
              <c:strCache>
                <c:ptCount val="1"/>
                <c:pt idx="0">
                  <c:v>Losses Production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2"/>
              </a:bgClr>
            </a:pattFill>
          </c:spPr>
          <c:invertIfNegative val="0"/>
          <c:val>
            <c:numRef>
              <c:f>'SI Table 5'!$H$3:$H$19</c:f>
              <c:numCache>
                <c:formatCode>0.0</c:formatCode>
                <c:ptCount val="17"/>
                <c:pt idx="0">
                  <c:v>8.4</c:v>
                </c:pt>
                <c:pt idx="1">
                  <c:v>12.6</c:v>
                </c:pt>
                <c:pt idx="2">
                  <c:v>3.6</c:v>
                </c:pt>
                <c:pt idx="3">
                  <c:v>13.68</c:v>
                </c:pt>
                <c:pt idx="4">
                  <c:v>32</c:v>
                </c:pt>
                <c:pt idx="5">
                  <c:v>96</c:v>
                </c:pt>
                <c:pt idx="6">
                  <c:v>20</c:v>
                </c:pt>
                <c:pt idx="7">
                  <c:v>56</c:v>
                </c:pt>
                <c:pt idx="8">
                  <c:v>12</c:v>
                </c:pt>
                <c:pt idx="9">
                  <c:v>24</c:v>
                </c:pt>
                <c:pt idx="10">
                  <c:v>120</c:v>
                </c:pt>
                <c:pt idx="11">
                  <c:v>280</c:v>
                </c:pt>
                <c:pt idx="12">
                  <c:v>360</c:v>
                </c:pt>
                <c:pt idx="13">
                  <c:v>400</c:v>
                </c:pt>
                <c:pt idx="14">
                  <c:v>190.35999999999999</c:v>
                </c:pt>
                <c:pt idx="15">
                  <c:v>2</c:v>
                </c:pt>
                <c:pt idx="16">
                  <c:v>3.5999999999999996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A-4F84-99E8-841263A22B5F}"/>
            </c:ext>
          </c:extLst>
        </c:ser>
        <c:ser>
          <c:idx val="5"/>
          <c:order val="5"/>
          <c:tx>
            <c:strRef>
              <c:f>'SI Table 5'!$G$2</c:f>
              <c:strCache>
                <c:ptCount val="1"/>
                <c:pt idx="0">
                  <c:v>Losses Combustion</c:v>
                </c:pt>
              </c:strCache>
            </c:strRef>
          </c:tx>
          <c:spPr>
            <a:pattFill prst="pct10">
              <a:fgClr>
                <a:prstClr val="black"/>
              </a:fgClr>
              <a:bgClr>
                <a:schemeClr val="bg2"/>
              </a:bgClr>
            </a:pattFill>
          </c:spPr>
          <c:invertIfNegative val="0"/>
          <c:val>
            <c:numRef>
              <c:f>'SI Table 5'!$G$3:$G$19</c:f>
              <c:numCache>
                <c:formatCode>0.0</c:formatCode>
                <c:ptCount val="17"/>
                <c:pt idx="0">
                  <c:v>57.75</c:v>
                </c:pt>
                <c:pt idx="1">
                  <c:v>57.75</c:v>
                </c:pt>
                <c:pt idx="2">
                  <c:v>99</c:v>
                </c:pt>
                <c:pt idx="3">
                  <c:v>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A-4F84-99E8-841263A22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616308288"/>
        <c:axId val="616317024"/>
      </c:barChart>
      <c:catAx>
        <c:axId val="61630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sq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616317024"/>
        <c:crosses val="autoZero"/>
        <c:auto val="0"/>
        <c:lblAlgn val="ctr"/>
        <c:lblOffset val="0"/>
        <c:tickLblSkip val="1"/>
        <c:noMultiLvlLbl val="0"/>
      </c:catAx>
      <c:valAx>
        <c:axId val="6163170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400" b="0"/>
                  <a:t>CO</a:t>
                </a:r>
                <a:r>
                  <a:rPr lang="en-US" sz="1400" b="0" baseline="-25000"/>
                  <a:t>2-eq</a:t>
                </a:r>
                <a:r>
                  <a:rPr lang="en-US" sz="1400" b="0"/>
                  <a:t> emissions, kg CO</a:t>
                </a:r>
                <a:r>
                  <a:rPr lang="en-US" sz="1400" b="0" baseline="-25000"/>
                  <a:t>2-eq</a:t>
                </a:r>
                <a:r>
                  <a:rPr lang="en-US" sz="1400" b="0"/>
                  <a:t>/t Cu</a:t>
                </a:r>
                <a:endParaRPr lang="ru-RU" sz="1400" b="0"/>
              </a:p>
            </c:rich>
          </c:tx>
          <c:layout>
            <c:manualLayout>
              <c:xMode val="edge"/>
              <c:yMode val="edge"/>
              <c:x val="1.0683618628001977E-3"/>
              <c:y val="0.133183363128853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616308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254614394275618"/>
          <c:y val="5.9010838688511189E-2"/>
          <c:w val="0.23256265973048293"/>
          <c:h val="0.35606821490031881"/>
        </c:manualLayout>
      </c:layout>
      <c:overlay val="1"/>
      <c:spPr>
        <a:solidFill>
          <a:schemeClr val="bg1"/>
        </a:solidFill>
        <a:ln w="0">
          <a:noFill/>
        </a:ln>
        <a:effectLst/>
      </c:spPr>
      <c:txPr>
        <a:bodyPr rot="0" vert="horz"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 rot="5400000" vert="horz" anchor="b" anchorCtr="0"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18588433355051E-2"/>
          <c:y val="4.1004719451784702E-2"/>
          <c:w val="0.90837929417436203"/>
          <c:h val="0.7278971654620152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'SI Table 5'!$D$2</c:f>
              <c:strCache>
                <c:ptCount val="1"/>
                <c:pt idx="0">
                  <c:v>Reductant preheat production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'SI Table 5'!$A$3:$B$19</c:f>
              <c:multiLvlStrCache>
                <c:ptCount val="17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  <c:pt idx="12">
                    <c:v>min</c:v>
                  </c:pt>
                  <c:pt idx="13">
                    <c:v>max</c:v>
                  </c:pt>
                  <c:pt idx="15">
                    <c:v>min</c:v>
                  </c:pt>
                  <c:pt idx="16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NG Grid</c:v>
                  </c:pt>
                  <c:pt idx="12">
                    <c:v>H2: 100% Coal Grid</c:v>
                  </c:pt>
                  <c:pt idx="14">
                    <c:v>H2: US 2016 Grid</c:v>
                  </c:pt>
                  <c:pt idx="15">
                    <c:v>H2: 100% RE grid</c:v>
                  </c:pt>
                </c:lvl>
              </c:multiLvlStrCache>
            </c:multiLvlStrRef>
          </c:cat>
          <c:val>
            <c:numRef>
              <c:f>'SI Table 5'!$D$3:$D$19</c:f>
              <c:numCache>
                <c:formatCode>0.0</c:formatCode>
                <c:ptCount val="17"/>
                <c:pt idx="0">
                  <c:v>1.0960000000000001</c:v>
                </c:pt>
                <c:pt idx="1">
                  <c:v>1.6440000000000001</c:v>
                </c:pt>
                <c:pt idx="2">
                  <c:v>0.31900000000000001</c:v>
                </c:pt>
                <c:pt idx="3">
                  <c:v>1.2121999999999999</c:v>
                </c:pt>
                <c:pt idx="4">
                  <c:v>9.48</c:v>
                </c:pt>
                <c:pt idx="5">
                  <c:v>28.44</c:v>
                </c:pt>
                <c:pt idx="6">
                  <c:v>5.9250000000000007</c:v>
                </c:pt>
                <c:pt idx="7">
                  <c:v>16.59</c:v>
                </c:pt>
                <c:pt idx="8">
                  <c:v>3.5550000000000002</c:v>
                </c:pt>
                <c:pt idx="9">
                  <c:v>7.11</c:v>
                </c:pt>
                <c:pt idx="10">
                  <c:v>35.550000000000004</c:v>
                </c:pt>
                <c:pt idx="11">
                  <c:v>82.95</c:v>
                </c:pt>
                <c:pt idx="12">
                  <c:v>106.65</c:v>
                </c:pt>
                <c:pt idx="13">
                  <c:v>118.5</c:v>
                </c:pt>
                <c:pt idx="14">
                  <c:v>56.394149999999996</c:v>
                </c:pt>
                <c:pt idx="15">
                  <c:v>0.59250000000000003</c:v>
                </c:pt>
                <c:pt idx="16">
                  <c:v>1.0665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3-4F63-815A-8D4FE3FDF285}"/>
            </c:ext>
          </c:extLst>
        </c:ser>
        <c:ser>
          <c:idx val="3"/>
          <c:order val="1"/>
          <c:tx>
            <c:strRef>
              <c:f>'SI Table 5'!$F$2</c:f>
              <c:strCache>
                <c:ptCount val="1"/>
                <c:pt idx="0">
                  <c:v>Reductant production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multiLvlStrRef>
              <c:f>'SI Table 5'!$A$3:$B$19</c:f>
              <c:multiLvlStrCache>
                <c:ptCount val="17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  <c:pt idx="12">
                    <c:v>min</c:v>
                  </c:pt>
                  <c:pt idx="13">
                    <c:v>max</c:v>
                  </c:pt>
                  <c:pt idx="15">
                    <c:v>min</c:v>
                  </c:pt>
                  <c:pt idx="16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NG Grid</c:v>
                  </c:pt>
                  <c:pt idx="12">
                    <c:v>H2: 100% Coal Grid</c:v>
                  </c:pt>
                  <c:pt idx="14">
                    <c:v>H2: US 2016 Grid</c:v>
                  </c:pt>
                  <c:pt idx="15">
                    <c:v>H2: 100% RE grid</c:v>
                  </c:pt>
                </c:lvl>
              </c:multiLvlStrCache>
            </c:multiLvlStrRef>
          </c:cat>
          <c:val>
            <c:numRef>
              <c:f>'SI Table 5'!$F$3:$F$19</c:f>
              <c:numCache>
                <c:formatCode>0.0</c:formatCode>
                <c:ptCount val="17"/>
                <c:pt idx="0">
                  <c:v>12.600000000000001</c:v>
                </c:pt>
                <c:pt idx="1">
                  <c:v>18.899999999999999</c:v>
                </c:pt>
                <c:pt idx="2">
                  <c:v>4.7240000000000002</c:v>
                </c:pt>
                <c:pt idx="3">
                  <c:v>17.9512</c:v>
                </c:pt>
                <c:pt idx="4">
                  <c:v>63</c:v>
                </c:pt>
                <c:pt idx="5">
                  <c:v>189</c:v>
                </c:pt>
                <c:pt idx="6">
                  <c:v>39.375</c:v>
                </c:pt>
                <c:pt idx="7">
                  <c:v>110.25</c:v>
                </c:pt>
                <c:pt idx="8">
                  <c:v>23.625</c:v>
                </c:pt>
                <c:pt idx="9">
                  <c:v>47.25</c:v>
                </c:pt>
                <c:pt idx="10">
                  <c:v>236.25</c:v>
                </c:pt>
                <c:pt idx="11">
                  <c:v>551.25</c:v>
                </c:pt>
                <c:pt idx="12">
                  <c:v>708.75</c:v>
                </c:pt>
                <c:pt idx="13">
                  <c:v>787.5</c:v>
                </c:pt>
                <c:pt idx="14">
                  <c:v>374.77124999999995</c:v>
                </c:pt>
                <c:pt idx="15">
                  <c:v>3.9375</c:v>
                </c:pt>
                <c:pt idx="16">
                  <c:v>7.0874999999999995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3-4F63-815A-8D4FE3FDF285}"/>
            </c:ext>
          </c:extLst>
        </c:ser>
        <c:ser>
          <c:idx val="0"/>
          <c:order val="2"/>
          <c:tx>
            <c:strRef>
              <c:f>'SI Table 5'!$C$2</c:f>
              <c:strCache>
                <c:ptCount val="1"/>
                <c:pt idx="0">
                  <c:v>Reductant preheat combustion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multiLvlStrRef>
              <c:f>'SI Table 5'!$A$3:$B$19</c:f>
              <c:multiLvlStrCache>
                <c:ptCount val="17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  <c:pt idx="12">
                    <c:v>min</c:v>
                  </c:pt>
                  <c:pt idx="13">
                    <c:v>max</c:v>
                  </c:pt>
                  <c:pt idx="15">
                    <c:v>min</c:v>
                  </c:pt>
                  <c:pt idx="16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NG Grid</c:v>
                  </c:pt>
                  <c:pt idx="12">
                    <c:v>H2: 100% Coal Grid</c:v>
                  </c:pt>
                  <c:pt idx="14">
                    <c:v>H2: US 2016 Grid</c:v>
                  </c:pt>
                  <c:pt idx="15">
                    <c:v>H2: 100% RE grid</c:v>
                  </c:pt>
                </c:lvl>
              </c:multiLvlStrCache>
            </c:multiLvlStrRef>
          </c:cat>
          <c:val>
            <c:numRef>
              <c:f>'SI Table 5'!$C$3:$C$19</c:f>
              <c:numCache>
                <c:formatCode>0.0</c:formatCode>
                <c:ptCount val="17"/>
                <c:pt idx="0">
                  <c:v>7.5350000000000001</c:v>
                </c:pt>
                <c:pt idx="1">
                  <c:v>7.5350000000000001</c:v>
                </c:pt>
                <c:pt idx="2">
                  <c:v>11.696666666666665</c:v>
                </c:pt>
                <c:pt idx="3">
                  <c:v>11.696666666666665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53-4F63-815A-8D4FE3FDF285}"/>
            </c:ext>
          </c:extLst>
        </c:ser>
        <c:ser>
          <c:idx val="2"/>
          <c:order val="3"/>
          <c:tx>
            <c:strRef>
              <c:f>'SI Table 5'!$E$2</c:f>
              <c:strCache>
                <c:ptCount val="1"/>
                <c:pt idx="0">
                  <c:v>Reductant in reaction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'SI Table 5'!$A$3:$B$19</c:f>
              <c:multiLvlStrCache>
                <c:ptCount val="17"/>
                <c:lvl>
                  <c:pt idx="0">
                    <c:v>min</c:v>
                  </c:pt>
                  <c:pt idx="1">
                    <c:v>max</c:v>
                  </c:pt>
                  <c:pt idx="2">
                    <c:v>min</c:v>
                  </c:pt>
                  <c:pt idx="3">
                    <c:v>max</c:v>
                  </c:pt>
                  <c:pt idx="4">
                    <c:v>min</c:v>
                  </c:pt>
                  <c:pt idx="5">
                    <c:v>max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min</c:v>
                  </c:pt>
                  <c:pt idx="9">
                    <c:v>max</c:v>
                  </c:pt>
                  <c:pt idx="10">
                    <c:v>min</c:v>
                  </c:pt>
                  <c:pt idx="11">
                    <c:v>max</c:v>
                  </c:pt>
                  <c:pt idx="12">
                    <c:v>min</c:v>
                  </c:pt>
                  <c:pt idx="13">
                    <c:v>max</c:v>
                  </c:pt>
                  <c:pt idx="15">
                    <c:v>min</c:v>
                  </c:pt>
                  <c:pt idx="16">
                    <c:v>max</c:v>
                  </c:pt>
                </c:lvl>
                <c:lvl>
                  <c:pt idx="0">
                    <c:v>NG</c:v>
                  </c:pt>
                  <c:pt idx="2">
                    <c:v>Coke</c:v>
                  </c:pt>
                  <c:pt idx="4">
                    <c:v>H2: SMR</c:v>
                  </c:pt>
                  <c:pt idx="6">
                    <c:v>H2: SMR + 55%CCS</c:v>
                  </c:pt>
                  <c:pt idx="8">
                    <c:v>H2: SMR + 93%CCS</c:v>
                  </c:pt>
                  <c:pt idx="10">
                    <c:v>H2: 100% NG Grid</c:v>
                  </c:pt>
                  <c:pt idx="12">
                    <c:v>H2: 100% Coal Grid</c:v>
                  </c:pt>
                  <c:pt idx="14">
                    <c:v>H2: US 2016 Grid</c:v>
                  </c:pt>
                  <c:pt idx="15">
                    <c:v>H2: 100% RE grid</c:v>
                  </c:pt>
                </c:lvl>
              </c:multiLvlStrCache>
            </c:multiLvlStrRef>
          </c:cat>
          <c:val>
            <c:numRef>
              <c:f>'SI Table 5'!$E$3:$E$19</c:f>
              <c:numCache>
                <c:formatCode>0.0</c:formatCode>
                <c:ptCount val="17"/>
                <c:pt idx="0">
                  <c:v>86.625</c:v>
                </c:pt>
                <c:pt idx="1">
                  <c:v>86.625</c:v>
                </c:pt>
                <c:pt idx="2">
                  <c:v>174.78800000000001</c:v>
                </c:pt>
                <c:pt idx="3">
                  <c:v>174.78800000000001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53-4F63-815A-8D4FE3FDF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616308288"/>
        <c:axId val="616317024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'SI Table 5'!$H$2</c15:sqref>
                        </c15:formulaRef>
                      </c:ext>
                    </c:extLst>
                    <c:strCache>
                      <c:ptCount val="1"/>
                      <c:pt idx="0">
                        <c:v>Losses Production</c:v>
                      </c:pt>
                    </c:strCache>
                  </c:strRef>
                </c:tx>
                <c:spPr>
                  <a:pattFill prst="wdUpDiag">
                    <a:fgClr>
                      <a:schemeClr val="tx1"/>
                    </a:fgClr>
                    <a:bgClr>
                      <a:schemeClr val="bg2"/>
                    </a:bgClr>
                  </a:patt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'SI Table 5'!$H$3:$H$19</c15:sqref>
                        </c15:formulaRef>
                      </c:ext>
                    </c:extLst>
                    <c:numCache>
                      <c:formatCode>0.0</c:formatCode>
                      <c:ptCount val="17"/>
                      <c:pt idx="0">
                        <c:v>8.4</c:v>
                      </c:pt>
                      <c:pt idx="1">
                        <c:v>12.6</c:v>
                      </c:pt>
                      <c:pt idx="2">
                        <c:v>3.6</c:v>
                      </c:pt>
                      <c:pt idx="3">
                        <c:v>13.68</c:v>
                      </c:pt>
                      <c:pt idx="4">
                        <c:v>32</c:v>
                      </c:pt>
                      <c:pt idx="5">
                        <c:v>96</c:v>
                      </c:pt>
                      <c:pt idx="6">
                        <c:v>20</c:v>
                      </c:pt>
                      <c:pt idx="7">
                        <c:v>56</c:v>
                      </c:pt>
                      <c:pt idx="8">
                        <c:v>12</c:v>
                      </c:pt>
                      <c:pt idx="9">
                        <c:v>24</c:v>
                      </c:pt>
                      <c:pt idx="10">
                        <c:v>120</c:v>
                      </c:pt>
                      <c:pt idx="11">
                        <c:v>280</c:v>
                      </c:pt>
                      <c:pt idx="12">
                        <c:v>360</c:v>
                      </c:pt>
                      <c:pt idx="13">
                        <c:v>400</c:v>
                      </c:pt>
                      <c:pt idx="14">
                        <c:v>190.35999999999999</c:v>
                      </c:pt>
                      <c:pt idx="15">
                        <c:v>2</c:v>
                      </c:pt>
                      <c:pt idx="16">
                        <c:v>3.5999999999999996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B53-4F63-815A-8D4FE3FDF28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 Table 5'!$G$2</c15:sqref>
                        </c15:formulaRef>
                      </c:ext>
                    </c:extLst>
                    <c:strCache>
                      <c:ptCount val="1"/>
                      <c:pt idx="0">
                        <c:v>Losses Combustion</c:v>
                      </c:pt>
                    </c:strCache>
                  </c:strRef>
                </c:tx>
                <c:spPr>
                  <a:pattFill prst="pct10">
                    <a:fgClr>
                      <a:prstClr val="black"/>
                    </a:fgClr>
                    <a:bgClr>
                      <a:schemeClr val="bg2"/>
                    </a:bgClr>
                  </a:pattFill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 Table 5'!$G$3:$G$19</c15:sqref>
                        </c15:formulaRef>
                      </c:ext>
                    </c:extLst>
                    <c:numCache>
                      <c:formatCode>0.0</c:formatCode>
                      <c:ptCount val="17"/>
                      <c:pt idx="0">
                        <c:v>57.75</c:v>
                      </c:pt>
                      <c:pt idx="1">
                        <c:v>57.75</c:v>
                      </c:pt>
                      <c:pt idx="2">
                        <c:v>99</c:v>
                      </c:pt>
                      <c:pt idx="3">
                        <c:v>99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B53-4F63-815A-8D4FE3FDF285}"/>
                  </c:ext>
                </c:extLst>
              </c15:ser>
            </c15:filteredBarSeries>
          </c:ext>
        </c:extLst>
      </c:barChart>
      <c:catAx>
        <c:axId val="61630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sq" cmpd="sng" algn="ctr">
            <a:solidFill>
              <a:schemeClr val="tx1"/>
            </a:solidFill>
            <a:round/>
          </a:ln>
          <a:effectLst/>
        </c:spPr>
        <c:txPr>
          <a:bodyPr rot="-5400000" vert="horz" anchor="b" anchorCtr="0"/>
          <a:lstStyle/>
          <a:p>
            <a:pPr>
              <a:defRPr sz="1200"/>
            </a:pPr>
            <a:endParaRPr lang="en-US"/>
          </a:p>
        </c:txPr>
        <c:crossAx val="616317024"/>
        <c:crosses val="autoZero"/>
        <c:auto val="0"/>
        <c:lblAlgn val="ctr"/>
        <c:lblOffset val="0"/>
        <c:tickLblSkip val="1"/>
        <c:noMultiLvlLbl val="0"/>
      </c:catAx>
      <c:valAx>
        <c:axId val="6163170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400" b="0"/>
                  <a:t>CO</a:t>
                </a:r>
                <a:r>
                  <a:rPr lang="en-US" sz="1400" b="0" baseline="-25000"/>
                  <a:t>2-eq</a:t>
                </a:r>
                <a:r>
                  <a:rPr lang="en-US" sz="1400" b="0"/>
                  <a:t> emissions, kg CO</a:t>
                </a:r>
                <a:r>
                  <a:rPr lang="en-US" sz="1400" b="0" baseline="-25000"/>
                  <a:t>2-eq</a:t>
                </a:r>
                <a:r>
                  <a:rPr lang="en-US" sz="1400" b="0"/>
                  <a:t>/t Cu</a:t>
                </a:r>
                <a:endParaRPr lang="ru-RU" sz="1400" b="0"/>
              </a:p>
            </c:rich>
          </c:tx>
          <c:layout>
            <c:manualLayout>
              <c:xMode val="edge"/>
              <c:yMode val="edge"/>
              <c:x val="1.0683618628001977E-3"/>
              <c:y val="0.133183363128853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616308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254614394275618"/>
          <c:y val="5.9010838688511189E-2"/>
          <c:w val="0.2360917784644477"/>
          <c:h val="0.35456481462149525"/>
        </c:manualLayout>
      </c:layout>
      <c:overlay val="1"/>
      <c:spPr>
        <a:solidFill>
          <a:schemeClr val="bg1"/>
        </a:solidFill>
        <a:ln w="0">
          <a:noFill/>
        </a:ln>
        <a:effectLst/>
      </c:spPr>
      <c:txPr>
        <a:bodyPr rot="0" vert="horz"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 rot="5400000" vert="horz" anchor="b" anchorCtr="0"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629809</xdr:colOff>
      <xdr:row>56</xdr:row>
      <xdr:rowOff>5711</xdr:rowOff>
    </xdr:from>
    <xdr:to>
      <xdr:col>24</xdr:col>
      <xdr:colOff>161374</xdr:colOff>
      <xdr:row>89</xdr:row>
      <xdr:rowOff>74737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56BB6F-3B6E-44C8-BF9F-52431E509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415152</xdr:colOff>
      <xdr:row>56</xdr:row>
      <xdr:rowOff>35958</xdr:rowOff>
    </xdr:from>
    <xdr:to>
      <xdr:col>17</xdr:col>
      <xdr:colOff>197174</xdr:colOff>
      <xdr:row>68</xdr:row>
      <xdr:rowOff>41531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F08EB6-4D9D-4D77-9039-EABB4FAF5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675230</xdr:colOff>
      <xdr:row>1</xdr:row>
      <xdr:rowOff>119062</xdr:rowOff>
    </xdr:from>
    <xdr:to>
      <xdr:col>21</xdr:col>
      <xdr:colOff>386156</xdr:colOff>
      <xdr:row>14</xdr:row>
      <xdr:rowOff>18245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706491</xdr:colOff>
      <xdr:row>14</xdr:row>
      <xdr:rowOff>38724</xdr:rowOff>
    </xdr:from>
    <xdr:to>
      <xdr:col>21</xdr:col>
      <xdr:colOff>417417</xdr:colOff>
      <xdr:row>25</xdr:row>
      <xdr:rowOff>172189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D36D48-7314-433C-BB7F-831192457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762000</xdr:colOff>
      <xdr:row>26</xdr:row>
      <xdr:rowOff>233081</xdr:rowOff>
    </xdr:from>
    <xdr:to>
      <xdr:col>22</xdr:col>
      <xdr:colOff>313765</xdr:colOff>
      <xdr:row>46</xdr:row>
      <xdr:rowOff>161363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03AA77-6222-4600-9365-848E7A0E7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0.08641</cdr:x>
      <cdr:y>0.01706</cdr:y>
    </cdr:from>
    <cdr:to>
      <cdr:x>0.99615</cdr:x>
      <cdr:y>0.75072</cdr:y>
    </cdr:to>
    <cdr:grpSp>
      <cdr:nvGrpSpPr>
        <cdr:cNvPr id="25" name="Group 24">
          <a:extLst xmlns:a="http://schemas.openxmlformats.org/drawingml/2006/main">
            <a:ext uri="{FF2B5EF4-FFF2-40B4-BE49-F238E27FC236}">
              <a16:creationId xmlns:a16="http://schemas.microsoft.com/office/drawing/2014/main" id="{329DC1D9-3C75-52E9-810F-ED32F4F0C323}"/>
            </a:ext>
          </a:extLst>
        </cdr:cNvPr>
        <cdr:cNvGrpSpPr/>
      </cdr:nvGrpSpPr>
      <cdr:grpSpPr>
        <a:xfrm xmlns:a="http://schemas.openxmlformats.org/drawingml/2006/main">
          <a:off x="806152" y="74316"/>
          <a:ext cx="8487309" cy="3195943"/>
          <a:chOff x="1655940" y="754190"/>
          <a:chExt cx="7814865" cy="4993349"/>
        </a:xfrm>
      </cdr:grpSpPr>
      <cdr:sp macro="" textlink="">
        <cdr:nvSpPr>
          <cdr:cNvPr id="5" name="TextBox 1">
            <a:extLst xmlns:a="http://schemas.openxmlformats.org/drawingml/2006/main">
              <a:ext uri="{FF2B5EF4-FFF2-40B4-BE49-F238E27FC236}">
                <a16:creationId xmlns:a16="http://schemas.microsoft.com/office/drawing/2014/main" id="{2AD9CD35-7E91-6340-6EDB-C5DDD0D943E6}"/>
              </a:ext>
            </a:extLst>
          </cdr:cNvPr>
          <cdr:cNvSpPr txBox="1"/>
        </cdr:nvSpPr>
        <cdr:spPr>
          <a:xfrm xmlns:a="http://schemas.openxmlformats.org/drawingml/2006/main">
            <a:off x="3404265" y="5217693"/>
            <a:ext cx="576638" cy="31493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104</a:t>
            </a:r>
            <a:endParaRPr lang="ru-RU" sz="1400" b="0"/>
          </a:p>
        </cdr:txBody>
      </cdr:sp>
      <cdr:sp macro="" textlink="">
        <cdr:nvSpPr>
          <cdr:cNvPr id="6" name="TextBox 1">
            <a:extLst xmlns:a="http://schemas.openxmlformats.org/drawingml/2006/main">
              <a:ext uri="{FF2B5EF4-FFF2-40B4-BE49-F238E27FC236}">
                <a16:creationId xmlns:a16="http://schemas.microsoft.com/office/drawing/2014/main" id="{8F7483ED-E835-BA09-32CC-31DA5AE2031B}"/>
              </a:ext>
            </a:extLst>
          </cdr:cNvPr>
          <cdr:cNvSpPr txBox="1"/>
        </cdr:nvSpPr>
        <cdr:spPr>
          <a:xfrm xmlns:a="http://schemas.openxmlformats.org/drawingml/2006/main">
            <a:off x="3876926" y="4455030"/>
            <a:ext cx="558821" cy="31493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313</a:t>
            </a:r>
            <a:endParaRPr lang="ru-RU" sz="1400" b="0"/>
          </a:p>
        </cdr:txBody>
      </cdr:sp>
      <cdr:sp macro="" textlink="">
        <cdr:nvSpPr>
          <cdr:cNvPr id="7" name="TextBox 1">
            <a:extLst xmlns:a="http://schemas.openxmlformats.org/drawingml/2006/main">
              <a:ext uri="{FF2B5EF4-FFF2-40B4-BE49-F238E27FC236}">
                <a16:creationId xmlns:a16="http://schemas.microsoft.com/office/drawing/2014/main" id="{36CA3B41-3D75-9FB5-462A-53ED5C957C69}"/>
              </a:ext>
            </a:extLst>
          </cdr:cNvPr>
          <cdr:cNvSpPr txBox="1"/>
        </cdr:nvSpPr>
        <cdr:spPr>
          <a:xfrm xmlns:a="http://schemas.openxmlformats.org/drawingml/2006/main">
            <a:off x="4782081" y="4735598"/>
            <a:ext cx="570377" cy="43358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183</a:t>
            </a:r>
            <a:endParaRPr lang="ru-RU" sz="1400" b="0"/>
          </a:p>
        </cdr:txBody>
      </cdr:sp>
      <cdr:sp macro="" textlink="">
        <cdr:nvSpPr>
          <cdr:cNvPr id="8" name="TextBox 1">
            <a:extLst xmlns:a="http://schemas.openxmlformats.org/drawingml/2006/main">
              <a:ext uri="{FF2B5EF4-FFF2-40B4-BE49-F238E27FC236}">
                <a16:creationId xmlns:a16="http://schemas.microsoft.com/office/drawing/2014/main" id="{D7365E04-E57C-EE23-B633-0965B1EE49DB}"/>
              </a:ext>
            </a:extLst>
          </cdr:cNvPr>
          <cdr:cNvSpPr txBox="1"/>
        </cdr:nvSpPr>
        <cdr:spPr>
          <a:xfrm xmlns:a="http://schemas.openxmlformats.org/drawingml/2006/main">
            <a:off x="4421288" y="5518057"/>
            <a:ext cx="451955" cy="8051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65</a:t>
            </a:r>
            <a:endParaRPr lang="ru-RU" sz="1400" b="0"/>
          </a:p>
        </cdr:txBody>
      </cdr:sp>
      <cdr:sp macro="" textlink="">
        <cdr:nvSpPr>
          <cdr:cNvPr id="9" name="TextBox 1">
            <a:extLst xmlns:a="http://schemas.openxmlformats.org/drawingml/2006/main">
              <a:ext uri="{FF2B5EF4-FFF2-40B4-BE49-F238E27FC236}">
                <a16:creationId xmlns:a16="http://schemas.microsoft.com/office/drawing/2014/main" id="{FEDA75D5-6FEF-816F-7018-10512A2DE41F}"/>
              </a:ext>
            </a:extLst>
          </cdr:cNvPr>
          <cdr:cNvSpPr txBox="1"/>
        </cdr:nvSpPr>
        <cdr:spPr>
          <a:xfrm xmlns:a="http://schemas.openxmlformats.org/drawingml/2006/main">
            <a:off x="5314338" y="5255320"/>
            <a:ext cx="451955" cy="31493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39</a:t>
            </a:r>
            <a:endParaRPr lang="ru-RU" sz="1400" b="0"/>
          </a:p>
        </cdr:txBody>
      </cdr:sp>
      <cdr:sp macro="" textlink="">
        <cdr:nvSpPr>
          <cdr:cNvPr id="10" name="TextBox 1">
            <a:extLst xmlns:a="http://schemas.openxmlformats.org/drawingml/2006/main">
              <a:ext uri="{FF2B5EF4-FFF2-40B4-BE49-F238E27FC236}">
                <a16:creationId xmlns:a16="http://schemas.microsoft.com/office/drawing/2014/main" id="{45E7C031-2295-D137-CA4C-EF40B0C21215}"/>
              </a:ext>
            </a:extLst>
          </cdr:cNvPr>
          <cdr:cNvSpPr txBox="1"/>
        </cdr:nvSpPr>
        <cdr:spPr>
          <a:xfrm xmlns:a="http://schemas.openxmlformats.org/drawingml/2006/main">
            <a:off x="5755247" y="5119722"/>
            <a:ext cx="451956" cy="31493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78</a:t>
            </a:r>
            <a:endParaRPr lang="ru-RU" sz="1400" b="0"/>
          </a:p>
        </cdr:txBody>
      </cdr:sp>
      <cdr:sp macro="" textlink="">
        <cdr:nvSpPr>
          <cdr:cNvPr id="11" name="TextBox 1">
            <a:extLst xmlns:a="http://schemas.openxmlformats.org/drawingml/2006/main">
              <a:ext uri="{FF2B5EF4-FFF2-40B4-BE49-F238E27FC236}">
                <a16:creationId xmlns:a16="http://schemas.microsoft.com/office/drawing/2014/main" id="{456320F7-FF47-D3A1-22A8-FCC413D4B4F1}"/>
              </a:ext>
            </a:extLst>
          </cdr:cNvPr>
          <cdr:cNvSpPr txBox="1"/>
        </cdr:nvSpPr>
        <cdr:spPr>
          <a:xfrm xmlns:a="http://schemas.openxmlformats.org/drawingml/2006/main">
            <a:off x="6176910" y="4033436"/>
            <a:ext cx="593468" cy="31493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392</a:t>
            </a:r>
            <a:endParaRPr lang="ru-RU" sz="1400" b="0"/>
          </a:p>
        </cdr:txBody>
      </cdr:sp>
      <cdr:sp macro="" textlink="">
        <cdr:nvSpPr>
          <cdr:cNvPr id="12" name="TextBox 1">
            <a:extLst xmlns:a="http://schemas.openxmlformats.org/drawingml/2006/main">
              <a:ext uri="{FF2B5EF4-FFF2-40B4-BE49-F238E27FC236}">
                <a16:creationId xmlns:a16="http://schemas.microsoft.com/office/drawing/2014/main" id="{456320F7-FF47-D3A1-22A8-FCC413D4B4F1}"/>
              </a:ext>
            </a:extLst>
          </cdr:cNvPr>
          <cdr:cNvSpPr txBox="1"/>
        </cdr:nvSpPr>
        <cdr:spPr>
          <a:xfrm xmlns:a="http://schemas.openxmlformats.org/drawingml/2006/main">
            <a:off x="6667108" y="2151513"/>
            <a:ext cx="498459" cy="30535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914</a:t>
            </a:r>
            <a:endParaRPr lang="ru-RU" sz="1400" b="0"/>
          </a:p>
        </cdr:txBody>
      </cdr:sp>
      <cdr:sp macro="" textlink="">
        <cdr:nvSpPr>
          <cdr:cNvPr id="13" name="TextBox 1">
            <a:extLst xmlns:a="http://schemas.openxmlformats.org/drawingml/2006/main">
              <a:ext uri="{FF2B5EF4-FFF2-40B4-BE49-F238E27FC236}">
                <a16:creationId xmlns:a16="http://schemas.microsoft.com/office/drawing/2014/main" id="{456320F7-FF47-D3A1-22A8-FCC413D4B4F1}"/>
              </a:ext>
            </a:extLst>
          </cdr:cNvPr>
          <cdr:cNvSpPr txBox="1"/>
        </cdr:nvSpPr>
        <cdr:spPr>
          <a:xfrm xmlns:a="http://schemas.openxmlformats.org/drawingml/2006/main">
            <a:off x="7566585" y="754190"/>
            <a:ext cx="540279" cy="31493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1306</a:t>
            </a:r>
            <a:endParaRPr lang="ru-RU" sz="1400" b="0"/>
          </a:p>
        </cdr:txBody>
      </cdr:sp>
      <cdr:sp macro="" textlink="">
        <cdr:nvSpPr>
          <cdr:cNvPr id="14" name="TextBox 1">
            <a:extLst xmlns:a="http://schemas.openxmlformats.org/drawingml/2006/main">
              <a:ext uri="{FF2B5EF4-FFF2-40B4-BE49-F238E27FC236}">
                <a16:creationId xmlns:a16="http://schemas.microsoft.com/office/drawing/2014/main" id="{A6E95690-658D-EF82-7231-2132D0D2EE50}"/>
              </a:ext>
            </a:extLst>
          </cdr:cNvPr>
          <cdr:cNvSpPr txBox="1"/>
        </cdr:nvSpPr>
        <cdr:spPr>
          <a:xfrm xmlns:a="http://schemas.openxmlformats.org/drawingml/2006/main">
            <a:off x="7130096" y="1181005"/>
            <a:ext cx="503052" cy="433582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1175</a:t>
            </a:r>
            <a:endParaRPr lang="ru-RU" sz="1400" b="0"/>
          </a:p>
        </cdr:txBody>
      </cdr:sp>
      <cdr:sp macro="" textlink="">
        <cdr:nvSpPr>
          <cdr:cNvPr id="16" name="TextBox 1">
            <a:extLst xmlns:a="http://schemas.openxmlformats.org/drawingml/2006/main">
              <a:ext uri="{FF2B5EF4-FFF2-40B4-BE49-F238E27FC236}">
                <a16:creationId xmlns:a16="http://schemas.microsoft.com/office/drawing/2014/main" id="{2F1BBCE3-DF4C-7DC7-8B20-354D66B61F2C}"/>
              </a:ext>
            </a:extLst>
          </cdr:cNvPr>
          <cdr:cNvSpPr txBox="1"/>
        </cdr:nvSpPr>
        <cdr:spPr>
          <a:xfrm xmlns:a="http://schemas.openxmlformats.org/drawingml/2006/main">
            <a:off x="8041068" y="3245205"/>
            <a:ext cx="541418" cy="31494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622</a:t>
            </a:r>
            <a:endParaRPr lang="ru-RU" sz="1400" b="0"/>
          </a:p>
        </cdr:txBody>
      </cdr:sp>
      <cdr:sp macro="" textlink="">
        <cdr:nvSpPr>
          <cdr:cNvPr id="17" name="TextBox 1">
            <a:extLst xmlns:a="http://schemas.openxmlformats.org/drawingml/2006/main">
              <a:ext uri="{FF2B5EF4-FFF2-40B4-BE49-F238E27FC236}">
                <a16:creationId xmlns:a16="http://schemas.microsoft.com/office/drawing/2014/main" id="{2F1BBCE3-DF4C-7DC7-8B20-354D66B61F2C}"/>
              </a:ext>
            </a:extLst>
          </cdr:cNvPr>
          <cdr:cNvSpPr txBox="1"/>
        </cdr:nvSpPr>
        <cdr:spPr>
          <a:xfrm xmlns:a="http://schemas.openxmlformats.org/drawingml/2006/main">
            <a:off x="8579458" y="5432601"/>
            <a:ext cx="451956" cy="31493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7</a:t>
            </a:r>
            <a:endParaRPr lang="ru-RU" sz="1400" b="0"/>
          </a:p>
        </cdr:txBody>
      </cdr:sp>
      <cdr:sp macro="" textlink="">
        <cdr:nvSpPr>
          <cdr:cNvPr id="18" name="TextBox 1">
            <a:extLst xmlns:a="http://schemas.openxmlformats.org/drawingml/2006/main">
              <a:ext uri="{FF2B5EF4-FFF2-40B4-BE49-F238E27FC236}">
                <a16:creationId xmlns:a16="http://schemas.microsoft.com/office/drawing/2014/main" id="{33901D87-CDD9-34D7-D44E-49CB987C0342}"/>
              </a:ext>
            </a:extLst>
          </cdr:cNvPr>
          <cdr:cNvSpPr txBox="1"/>
        </cdr:nvSpPr>
        <cdr:spPr>
          <a:xfrm xmlns:a="http://schemas.openxmlformats.org/drawingml/2006/main">
            <a:off x="9018851" y="5412611"/>
            <a:ext cx="451954" cy="31493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12</a:t>
            </a:r>
            <a:endParaRPr lang="ru-RU" sz="1400" b="0"/>
          </a:p>
        </cdr:txBody>
      </cdr:sp>
      <cdr:sp macro="" textlink="">
        <cdr:nvSpPr>
          <cdr:cNvPr id="19" name="TextBox 1">
            <a:extLst xmlns:a="http://schemas.openxmlformats.org/drawingml/2006/main">
              <a:ext uri="{FF2B5EF4-FFF2-40B4-BE49-F238E27FC236}">
                <a16:creationId xmlns:a16="http://schemas.microsoft.com/office/drawing/2014/main" id="{A1C5D911-3B8B-7989-2814-7A6AF4DC8DEE}"/>
              </a:ext>
            </a:extLst>
          </cdr:cNvPr>
          <cdr:cNvSpPr txBox="1"/>
        </cdr:nvSpPr>
        <cdr:spPr>
          <a:xfrm xmlns:a="http://schemas.openxmlformats.org/drawingml/2006/main">
            <a:off x="2493267" y="4515486"/>
            <a:ext cx="601830" cy="31816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294</a:t>
            </a:r>
            <a:endParaRPr lang="ru-RU" sz="1400" b="0"/>
          </a:p>
        </cdr:txBody>
      </cdr:sp>
      <cdr:sp macro="" textlink="">
        <cdr:nvSpPr>
          <cdr:cNvPr id="22" name="TextBox 1">
            <a:extLst xmlns:a="http://schemas.openxmlformats.org/drawingml/2006/main">
              <a:ext uri="{FF2B5EF4-FFF2-40B4-BE49-F238E27FC236}">
                <a16:creationId xmlns:a16="http://schemas.microsoft.com/office/drawing/2014/main" id="{700470CD-32DF-2366-03A8-D10629A98FD1}"/>
              </a:ext>
            </a:extLst>
          </cdr:cNvPr>
          <cdr:cNvSpPr txBox="1"/>
        </cdr:nvSpPr>
        <cdr:spPr>
          <a:xfrm xmlns:a="http://schemas.openxmlformats.org/drawingml/2006/main">
            <a:off x="2975386" y="4398412"/>
            <a:ext cx="553395" cy="31493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318</a:t>
            </a:r>
            <a:endParaRPr lang="ru-RU" sz="1400" b="0"/>
          </a:p>
        </cdr:txBody>
      </cdr:sp>
      <cdr:sp macro="" textlink="">
        <cdr:nvSpPr>
          <cdr:cNvPr id="23" name="TextBox 1">
            <a:extLst xmlns:a="http://schemas.openxmlformats.org/drawingml/2006/main">
              <a:ext uri="{FF2B5EF4-FFF2-40B4-BE49-F238E27FC236}">
                <a16:creationId xmlns:a16="http://schemas.microsoft.com/office/drawing/2014/main" id="{6CEEA044-03D9-725A-C0D9-B891497DD30D}"/>
              </a:ext>
            </a:extLst>
          </cdr:cNvPr>
          <cdr:cNvSpPr txBox="1"/>
        </cdr:nvSpPr>
        <cdr:spPr>
          <a:xfrm xmlns:a="http://schemas.openxmlformats.org/drawingml/2006/main">
            <a:off x="2126005" y="4896172"/>
            <a:ext cx="451954" cy="31493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185</a:t>
            </a:r>
            <a:endParaRPr lang="ru-RU" sz="1400" b="0"/>
          </a:p>
        </cdr:txBody>
      </cdr:sp>
      <cdr:sp macro="" textlink="">
        <cdr:nvSpPr>
          <cdr:cNvPr id="24" name="TextBox 1">
            <a:extLst xmlns:a="http://schemas.openxmlformats.org/drawingml/2006/main">
              <a:ext uri="{FF2B5EF4-FFF2-40B4-BE49-F238E27FC236}">
                <a16:creationId xmlns:a16="http://schemas.microsoft.com/office/drawing/2014/main" id="{55CFA9FE-7AEF-634C-716C-41891C175ECD}"/>
              </a:ext>
            </a:extLst>
          </cdr:cNvPr>
          <cdr:cNvSpPr txBox="1"/>
        </cdr:nvSpPr>
        <cdr:spPr>
          <a:xfrm xmlns:a="http://schemas.openxmlformats.org/drawingml/2006/main">
            <a:off x="1655940" y="4963787"/>
            <a:ext cx="451956" cy="31494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174</a:t>
            </a:r>
            <a:endParaRPr lang="ru-RU" sz="1400" b="0"/>
          </a:p>
        </cdr:txBody>
      </cdr:sp>
    </cdr:grp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0.08641</cdr:x>
      <cdr:y>0.03967</cdr:y>
    </cdr:from>
    <cdr:to>
      <cdr:x>0.99615</cdr:x>
      <cdr:y>0.75072</cdr:y>
    </cdr:to>
    <cdr:grpSp>
      <cdr:nvGrpSpPr>
        <cdr:cNvPr id="25" name="Group 24">
          <a:extLst xmlns:a="http://schemas.openxmlformats.org/drawingml/2006/main">
            <a:ext uri="{FF2B5EF4-FFF2-40B4-BE49-F238E27FC236}">
              <a16:creationId xmlns:a16="http://schemas.microsoft.com/office/drawing/2014/main" id="{329DC1D9-3C75-52E9-810F-ED32F4F0C323}"/>
            </a:ext>
          </a:extLst>
        </cdr:cNvPr>
        <cdr:cNvGrpSpPr/>
      </cdr:nvGrpSpPr>
      <cdr:grpSpPr>
        <a:xfrm xmlns:a="http://schemas.openxmlformats.org/drawingml/2006/main">
          <a:off x="806152" y="162711"/>
          <a:ext cx="8487309" cy="2916454"/>
          <a:chOff x="1655941" y="908061"/>
          <a:chExt cx="7814864" cy="4839478"/>
        </a:xfrm>
      </cdr:grpSpPr>
      <cdr:sp macro="" textlink="">
        <cdr:nvSpPr>
          <cdr:cNvPr id="5" name="TextBox 1">
            <a:extLst xmlns:a="http://schemas.openxmlformats.org/drawingml/2006/main">
              <a:ext uri="{FF2B5EF4-FFF2-40B4-BE49-F238E27FC236}">
                <a16:creationId xmlns:a16="http://schemas.microsoft.com/office/drawing/2014/main" id="{2AD9CD35-7E91-6340-6EDB-C5DDD0D943E6}"/>
              </a:ext>
            </a:extLst>
          </cdr:cNvPr>
          <cdr:cNvSpPr txBox="1"/>
        </cdr:nvSpPr>
        <cdr:spPr>
          <a:xfrm xmlns:a="http://schemas.openxmlformats.org/drawingml/2006/main">
            <a:off x="3415211" y="5199225"/>
            <a:ext cx="576638" cy="31493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72</a:t>
            </a:r>
            <a:endParaRPr lang="ru-RU" sz="1400" b="0"/>
          </a:p>
        </cdr:txBody>
      </cdr:sp>
      <cdr:sp macro="" textlink="">
        <cdr:nvSpPr>
          <cdr:cNvPr id="6" name="TextBox 1">
            <a:extLst xmlns:a="http://schemas.openxmlformats.org/drawingml/2006/main">
              <a:ext uri="{FF2B5EF4-FFF2-40B4-BE49-F238E27FC236}">
                <a16:creationId xmlns:a16="http://schemas.microsoft.com/office/drawing/2014/main" id="{8F7483ED-E835-BA09-32CC-31DA5AE2031B}"/>
              </a:ext>
            </a:extLst>
          </cdr:cNvPr>
          <cdr:cNvSpPr txBox="1"/>
        </cdr:nvSpPr>
        <cdr:spPr>
          <a:xfrm xmlns:a="http://schemas.openxmlformats.org/drawingml/2006/main">
            <a:off x="3898820" y="4455030"/>
            <a:ext cx="558821" cy="31493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217</a:t>
            </a:r>
            <a:endParaRPr lang="ru-RU" sz="1400" b="0"/>
          </a:p>
        </cdr:txBody>
      </cdr:sp>
      <cdr:sp macro="" textlink="">
        <cdr:nvSpPr>
          <cdr:cNvPr id="7" name="TextBox 1">
            <a:extLst xmlns:a="http://schemas.openxmlformats.org/drawingml/2006/main">
              <a:ext uri="{FF2B5EF4-FFF2-40B4-BE49-F238E27FC236}">
                <a16:creationId xmlns:a16="http://schemas.microsoft.com/office/drawing/2014/main" id="{36CA3B41-3D75-9FB5-462A-53ED5C957C69}"/>
              </a:ext>
            </a:extLst>
          </cdr:cNvPr>
          <cdr:cNvSpPr txBox="1"/>
        </cdr:nvSpPr>
        <cdr:spPr>
          <a:xfrm xmlns:a="http://schemas.openxmlformats.org/drawingml/2006/main">
            <a:off x="4803974" y="4754066"/>
            <a:ext cx="570377" cy="43358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127</a:t>
            </a:r>
            <a:endParaRPr lang="ru-RU" sz="1400" b="0"/>
          </a:p>
        </cdr:txBody>
      </cdr:sp>
      <cdr:sp macro="" textlink="">
        <cdr:nvSpPr>
          <cdr:cNvPr id="8" name="TextBox 1">
            <a:extLst xmlns:a="http://schemas.openxmlformats.org/drawingml/2006/main">
              <a:ext uri="{FF2B5EF4-FFF2-40B4-BE49-F238E27FC236}">
                <a16:creationId xmlns:a16="http://schemas.microsoft.com/office/drawing/2014/main" id="{D7365E04-E57C-EE23-B633-0965B1EE49DB}"/>
              </a:ext>
            </a:extLst>
          </cdr:cNvPr>
          <cdr:cNvSpPr txBox="1"/>
        </cdr:nvSpPr>
        <cdr:spPr>
          <a:xfrm xmlns:a="http://schemas.openxmlformats.org/drawingml/2006/main">
            <a:off x="4399394" y="5516831"/>
            <a:ext cx="451955" cy="8051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45</a:t>
            </a:r>
            <a:endParaRPr lang="ru-RU" sz="1400" b="0"/>
          </a:p>
        </cdr:txBody>
      </cdr:sp>
      <cdr:sp macro="" textlink="">
        <cdr:nvSpPr>
          <cdr:cNvPr id="9" name="TextBox 1">
            <a:extLst xmlns:a="http://schemas.openxmlformats.org/drawingml/2006/main">
              <a:ext uri="{FF2B5EF4-FFF2-40B4-BE49-F238E27FC236}">
                <a16:creationId xmlns:a16="http://schemas.microsoft.com/office/drawing/2014/main" id="{FEDA75D5-6FEF-816F-7018-10512A2DE41F}"/>
              </a:ext>
            </a:extLst>
          </cdr:cNvPr>
          <cdr:cNvSpPr txBox="1"/>
        </cdr:nvSpPr>
        <cdr:spPr>
          <a:xfrm xmlns:a="http://schemas.openxmlformats.org/drawingml/2006/main">
            <a:off x="5303392" y="5215933"/>
            <a:ext cx="451955" cy="3149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27</a:t>
            </a:r>
            <a:endParaRPr lang="ru-RU" sz="1400" b="0"/>
          </a:p>
        </cdr:txBody>
      </cdr:sp>
      <cdr:sp macro="" textlink="">
        <cdr:nvSpPr>
          <cdr:cNvPr id="10" name="TextBox 1">
            <a:extLst xmlns:a="http://schemas.openxmlformats.org/drawingml/2006/main">
              <a:ext uri="{FF2B5EF4-FFF2-40B4-BE49-F238E27FC236}">
                <a16:creationId xmlns:a16="http://schemas.microsoft.com/office/drawing/2014/main" id="{45E7C031-2295-D137-CA4C-EF40B0C21215}"/>
              </a:ext>
            </a:extLst>
          </cdr:cNvPr>
          <cdr:cNvSpPr txBox="1"/>
        </cdr:nvSpPr>
        <cdr:spPr>
          <a:xfrm xmlns:a="http://schemas.openxmlformats.org/drawingml/2006/main">
            <a:off x="5766194" y="5117271"/>
            <a:ext cx="451956" cy="3149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54</a:t>
            </a:r>
            <a:endParaRPr lang="ru-RU" sz="1400" b="0"/>
          </a:p>
        </cdr:txBody>
      </cdr:sp>
      <cdr:sp macro="" textlink="">
        <cdr:nvSpPr>
          <cdr:cNvPr id="11" name="TextBox 1">
            <a:extLst xmlns:a="http://schemas.openxmlformats.org/drawingml/2006/main">
              <a:ext uri="{FF2B5EF4-FFF2-40B4-BE49-F238E27FC236}">
                <a16:creationId xmlns:a16="http://schemas.microsoft.com/office/drawing/2014/main" id="{456320F7-FF47-D3A1-22A8-FCC413D4B4F1}"/>
              </a:ext>
            </a:extLst>
          </cdr:cNvPr>
          <cdr:cNvSpPr txBox="1"/>
        </cdr:nvSpPr>
        <cdr:spPr>
          <a:xfrm xmlns:a="http://schemas.openxmlformats.org/drawingml/2006/main">
            <a:off x="6155016" y="4053130"/>
            <a:ext cx="593468" cy="3149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272</a:t>
            </a:r>
            <a:endParaRPr lang="ru-RU" sz="1400" b="0"/>
          </a:p>
        </cdr:txBody>
      </cdr:sp>
      <cdr:sp macro="" textlink="">
        <cdr:nvSpPr>
          <cdr:cNvPr id="12" name="TextBox 1">
            <a:extLst xmlns:a="http://schemas.openxmlformats.org/drawingml/2006/main">
              <a:ext uri="{FF2B5EF4-FFF2-40B4-BE49-F238E27FC236}">
                <a16:creationId xmlns:a16="http://schemas.microsoft.com/office/drawing/2014/main" id="{456320F7-FF47-D3A1-22A8-FCC413D4B4F1}"/>
              </a:ext>
            </a:extLst>
          </cdr:cNvPr>
          <cdr:cNvSpPr txBox="1"/>
        </cdr:nvSpPr>
        <cdr:spPr>
          <a:xfrm xmlns:a="http://schemas.openxmlformats.org/drawingml/2006/main">
            <a:off x="6656162" y="2221709"/>
            <a:ext cx="498459" cy="30535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634</a:t>
            </a:r>
            <a:endParaRPr lang="ru-RU" sz="1400" b="0"/>
          </a:p>
        </cdr:txBody>
      </cdr:sp>
      <cdr:sp macro="" textlink="">
        <cdr:nvSpPr>
          <cdr:cNvPr id="13" name="TextBox 1">
            <a:extLst xmlns:a="http://schemas.openxmlformats.org/drawingml/2006/main">
              <a:ext uri="{FF2B5EF4-FFF2-40B4-BE49-F238E27FC236}">
                <a16:creationId xmlns:a16="http://schemas.microsoft.com/office/drawing/2014/main" id="{456320F7-FF47-D3A1-22A8-FCC413D4B4F1}"/>
              </a:ext>
            </a:extLst>
          </cdr:cNvPr>
          <cdr:cNvSpPr txBox="1"/>
        </cdr:nvSpPr>
        <cdr:spPr>
          <a:xfrm xmlns:a="http://schemas.openxmlformats.org/drawingml/2006/main">
            <a:off x="7566584" y="908061"/>
            <a:ext cx="540279" cy="3149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906</a:t>
            </a:r>
            <a:endParaRPr lang="ru-RU" sz="1400" b="0"/>
          </a:p>
        </cdr:txBody>
      </cdr:sp>
      <cdr:sp macro="" textlink="">
        <cdr:nvSpPr>
          <cdr:cNvPr id="14" name="TextBox 1">
            <a:extLst xmlns:a="http://schemas.openxmlformats.org/drawingml/2006/main">
              <a:ext uri="{FF2B5EF4-FFF2-40B4-BE49-F238E27FC236}">
                <a16:creationId xmlns:a16="http://schemas.microsoft.com/office/drawing/2014/main" id="{A6E95690-658D-EF82-7231-2132D0D2EE50}"/>
              </a:ext>
            </a:extLst>
          </cdr:cNvPr>
          <cdr:cNvSpPr txBox="1"/>
        </cdr:nvSpPr>
        <cdr:spPr>
          <a:xfrm xmlns:a="http://schemas.openxmlformats.org/drawingml/2006/main">
            <a:off x="7119149" y="1309054"/>
            <a:ext cx="503052" cy="433583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815</a:t>
            </a:r>
            <a:endParaRPr lang="ru-RU" sz="1400" b="0"/>
          </a:p>
        </cdr:txBody>
      </cdr:sp>
      <cdr:sp macro="" textlink="">
        <cdr:nvSpPr>
          <cdr:cNvPr id="16" name="TextBox 1">
            <a:extLst xmlns:a="http://schemas.openxmlformats.org/drawingml/2006/main">
              <a:ext uri="{FF2B5EF4-FFF2-40B4-BE49-F238E27FC236}">
                <a16:creationId xmlns:a16="http://schemas.microsoft.com/office/drawing/2014/main" id="{2F1BBCE3-DF4C-7DC7-8B20-354D66B61F2C}"/>
              </a:ext>
            </a:extLst>
          </cdr:cNvPr>
          <cdr:cNvSpPr txBox="1"/>
        </cdr:nvSpPr>
        <cdr:spPr>
          <a:xfrm xmlns:a="http://schemas.openxmlformats.org/drawingml/2006/main">
            <a:off x="8041069" y="3245205"/>
            <a:ext cx="541418" cy="31494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431</a:t>
            </a:r>
            <a:endParaRPr lang="ru-RU" sz="1400" b="0"/>
          </a:p>
        </cdr:txBody>
      </cdr:sp>
      <cdr:sp macro="" textlink="">
        <cdr:nvSpPr>
          <cdr:cNvPr id="17" name="TextBox 1">
            <a:extLst xmlns:a="http://schemas.openxmlformats.org/drawingml/2006/main">
              <a:ext uri="{FF2B5EF4-FFF2-40B4-BE49-F238E27FC236}">
                <a16:creationId xmlns:a16="http://schemas.microsoft.com/office/drawing/2014/main" id="{2F1BBCE3-DF4C-7DC7-8B20-354D66B61F2C}"/>
              </a:ext>
            </a:extLst>
          </cdr:cNvPr>
          <cdr:cNvSpPr txBox="1"/>
        </cdr:nvSpPr>
        <cdr:spPr>
          <a:xfrm xmlns:a="http://schemas.openxmlformats.org/drawingml/2006/main">
            <a:off x="8579458" y="5432601"/>
            <a:ext cx="451956" cy="31493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5</a:t>
            </a:r>
            <a:endParaRPr lang="ru-RU" sz="1400" b="0"/>
          </a:p>
        </cdr:txBody>
      </cdr:sp>
      <cdr:sp macro="" textlink="">
        <cdr:nvSpPr>
          <cdr:cNvPr id="18" name="TextBox 1">
            <a:extLst xmlns:a="http://schemas.openxmlformats.org/drawingml/2006/main">
              <a:ext uri="{FF2B5EF4-FFF2-40B4-BE49-F238E27FC236}">
                <a16:creationId xmlns:a16="http://schemas.microsoft.com/office/drawing/2014/main" id="{33901D87-CDD9-34D7-D44E-49CB987C0342}"/>
              </a:ext>
            </a:extLst>
          </cdr:cNvPr>
          <cdr:cNvSpPr txBox="1"/>
        </cdr:nvSpPr>
        <cdr:spPr>
          <a:xfrm xmlns:a="http://schemas.openxmlformats.org/drawingml/2006/main">
            <a:off x="9018851" y="5412611"/>
            <a:ext cx="451954" cy="31493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8</a:t>
            </a:r>
            <a:endParaRPr lang="ru-RU" sz="1400" b="0"/>
          </a:p>
        </cdr:txBody>
      </cdr:sp>
      <cdr:sp macro="" textlink="">
        <cdr:nvSpPr>
          <cdr:cNvPr id="19" name="TextBox 1">
            <a:extLst xmlns:a="http://schemas.openxmlformats.org/drawingml/2006/main">
              <a:ext uri="{FF2B5EF4-FFF2-40B4-BE49-F238E27FC236}">
                <a16:creationId xmlns:a16="http://schemas.microsoft.com/office/drawing/2014/main" id="{A1C5D911-3B8B-7989-2814-7A6AF4DC8DEE}"/>
              </a:ext>
            </a:extLst>
          </cdr:cNvPr>
          <cdr:cNvSpPr txBox="1"/>
        </cdr:nvSpPr>
        <cdr:spPr>
          <a:xfrm xmlns:a="http://schemas.openxmlformats.org/drawingml/2006/main">
            <a:off x="2493266" y="4590248"/>
            <a:ext cx="601830" cy="31816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192</a:t>
            </a:r>
            <a:endParaRPr lang="ru-RU" sz="1400" b="0"/>
          </a:p>
        </cdr:txBody>
      </cdr:sp>
      <cdr:sp macro="" textlink="">
        <cdr:nvSpPr>
          <cdr:cNvPr id="22" name="TextBox 1">
            <a:extLst xmlns:a="http://schemas.openxmlformats.org/drawingml/2006/main">
              <a:ext uri="{FF2B5EF4-FFF2-40B4-BE49-F238E27FC236}">
                <a16:creationId xmlns:a16="http://schemas.microsoft.com/office/drawing/2014/main" id="{700470CD-32DF-2366-03A8-D10629A98FD1}"/>
              </a:ext>
            </a:extLst>
          </cdr:cNvPr>
          <cdr:cNvSpPr txBox="1"/>
        </cdr:nvSpPr>
        <cdr:spPr>
          <a:xfrm xmlns:a="http://schemas.openxmlformats.org/drawingml/2006/main">
            <a:off x="2975386" y="4491938"/>
            <a:ext cx="553395" cy="3149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206</a:t>
            </a:r>
            <a:endParaRPr lang="ru-RU" sz="1400" b="0"/>
          </a:p>
        </cdr:txBody>
      </cdr:sp>
      <cdr:sp macro="" textlink="">
        <cdr:nvSpPr>
          <cdr:cNvPr id="23" name="TextBox 1">
            <a:extLst xmlns:a="http://schemas.openxmlformats.org/drawingml/2006/main">
              <a:ext uri="{FF2B5EF4-FFF2-40B4-BE49-F238E27FC236}">
                <a16:creationId xmlns:a16="http://schemas.microsoft.com/office/drawing/2014/main" id="{6CEEA044-03D9-725A-C0D9-B891497DD30D}"/>
              </a:ext>
            </a:extLst>
          </cdr:cNvPr>
          <cdr:cNvSpPr txBox="1"/>
        </cdr:nvSpPr>
        <cdr:spPr>
          <a:xfrm xmlns:a="http://schemas.openxmlformats.org/drawingml/2006/main">
            <a:off x="2115059" y="4969560"/>
            <a:ext cx="451954" cy="3149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115</a:t>
            </a:r>
            <a:endParaRPr lang="ru-RU" sz="1400" b="0"/>
          </a:p>
        </cdr:txBody>
      </cdr:sp>
      <cdr:sp macro="" textlink="">
        <cdr:nvSpPr>
          <cdr:cNvPr id="24" name="TextBox 1">
            <a:extLst xmlns:a="http://schemas.openxmlformats.org/drawingml/2006/main">
              <a:ext uri="{FF2B5EF4-FFF2-40B4-BE49-F238E27FC236}">
                <a16:creationId xmlns:a16="http://schemas.microsoft.com/office/drawing/2014/main" id="{55CFA9FE-7AEF-634C-716C-41891C175ECD}"/>
              </a:ext>
            </a:extLst>
          </cdr:cNvPr>
          <cdr:cNvSpPr txBox="1"/>
        </cdr:nvSpPr>
        <cdr:spPr>
          <a:xfrm xmlns:a="http://schemas.openxmlformats.org/drawingml/2006/main">
            <a:off x="1655941" y="5075485"/>
            <a:ext cx="451956" cy="31494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400" b="0"/>
              <a:t>108</a:t>
            </a:r>
            <a:endParaRPr lang="ru-RU" sz="1400" b="0"/>
          </a:p>
        </cdr:txBody>
      </cdr:sp>
    </cdr:grp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0.08818</cdr:x>
      <cdr:y>0.26874</cdr:y>
    </cdr:from>
    <cdr:to>
      <cdr:x>0.91339</cdr:x>
      <cdr:y>0.73713</cdr:y>
    </cdr:to>
    <cdr:grpSp>
      <cdr:nvGrpSpPr>
        <cdr:cNvPr id="25" name="Group 24">
          <a:extLst xmlns:a="http://schemas.openxmlformats.org/drawingml/2006/main">
            <a:ext uri="{FF2B5EF4-FFF2-40B4-BE49-F238E27FC236}">
              <a16:creationId xmlns:a16="http://schemas.microsoft.com/office/drawing/2014/main" id="{329DC1D9-3C75-52E9-810F-ED32F4F0C323}"/>
            </a:ext>
          </a:extLst>
        </cdr:cNvPr>
        <cdr:cNvGrpSpPr/>
      </cdr:nvGrpSpPr>
      <cdr:grpSpPr>
        <a:xfrm xmlns:a="http://schemas.openxmlformats.org/drawingml/2006/main">
          <a:off x="861877" y="1250091"/>
          <a:ext cx="8065658" cy="2178798"/>
          <a:chOff x="1671086" y="2467111"/>
          <a:chExt cx="7088831" cy="3187912"/>
        </a:xfrm>
      </cdr:grpSpPr>
      <cdr:sp macro="" textlink="">
        <cdr:nvSpPr>
          <cdr:cNvPr id="5" name="TextBox 1">
            <a:extLst xmlns:a="http://schemas.openxmlformats.org/drawingml/2006/main">
              <a:ext uri="{FF2B5EF4-FFF2-40B4-BE49-F238E27FC236}">
                <a16:creationId xmlns:a16="http://schemas.microsoft.com/office/drawing/2014/main" id="{2AD9CD35-7E91-6340-6EDB-C5DDD0D943E6}"/>
              </a:ext>
            </a:extLst>
          </cdr:cNvPr>
          <cdr:cNvSpPr txBox="1"/>
        </cdr:nvSpPr>
        <cdr:spPr>
          <a:xfrm xmlns:a="http://schemas.openxmlformats.org/drawingml/2006/main">
            <a:off x="4047644" y="4510599"/>
            <a:ext cx="576638" cy="31493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72</a:t>
            </a:r>
            <a:endParaRPr lang="ru-RU" sz="1600" b="0"/>
          </a:p>
        </cdr:txBody>
      </cdr:sp>
      <cdr:sp macro="" textlink="">
        <cdr:nvSpPr>
          <cdr:cNvPr id="6" name="TextBox 1">
            <a:extLst xmlns:a="http://schemas.openxmlformats.org/drawingml/2006/main">
              <a:ext uri="{FF2B5EF4-FFF2-40B4-BE49-F238E27FC236}">
                <a16:creationId xmlns:a16="http://schemas.microsoft.com/office/drawing/2014/main" id="{8F7483ED-E835-BA09-32CC-31DA5AE2031B}"/>
              </a:ext>
            </a:extLst>
          </cdr:cNvPr>
          <cdr:cNvSpPr txBox="1"/>
        </cdr:nvSpPr>
        <cdr:spPr>
          <a:xfrm xmlns:a="http://schemas.openxmlformats.org/drawingml/2006/main">
            <a:off x="4671672" y="2467111"/>
            <a:ext cx="558821" cy="31493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217</a:t>
            </a:r>
            <a:endParaRPr lang="ru-RU" sz="1600" b="0"/>
          </a:p>
        </cdr:txBody>
      </cdr:sp>
      <cdr:sp macro="" textlink="">
        <cdr:nvSpPr>
          <cdr:cNvPr id="7" name="TextBox 1">
            <a:extLst xmlns:a="http://schemas.openxmlformats.org/drawingml/2006/main">
              <a:ext uri="{FF2B5EF4-FFF2-40B4-BE49-F238E27FC236}">
                <a16:creationId xmlns:a16="http://schemas.microsoft.com/office/drawing/2014/main" id="{36CA3B41-3D75-9FB5-462A-53ED5C957C69}"/>
              </a:ext>
            </a:extLst>
          </cdr:cNvPr>
          <cdr:cNvSpPr txBox="1"/>
        </cdr:nvSpPr>
        <cdr:spPr>
          <a:xfrm xmlns:a="http://schemas.openxmlformats.org/drawingml/2006/main">
            <a:off x="5862892" y="3564542"/>
            <a:ext cx="570377" cy="433583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127</a:t>
            </a:r>
            <a:endParaRPr lang="ru-RU" sz="1600" b="0"/>
          </a:p>
        </cdr:txBody>
      </cdr:sp>
      <cdr:sp macro="" textlink="">
        <cdr:nvSpPr>
          <cdr:cNvPr id="8" name="TextBox 1">
            <a:extLst xmlns:a="http://schemas.openxmlformats.org/drawingml/2006/main">
              <a:ext uri="{FF2B5EF4-FFF2-40B4-BE49-F238E27FC236}">
                <a16:creationId xmlns:a16="http://schemas.microsoft.com/office/drawing/2014/main" id="{D7365E04-E57C-EE23-B633-0965B1EE49DB}"/>
              </a:ext>
            </a:extLst>
          </cdr:cNvPr>
          <cdr:cNvSpPr txBox="1"/>
        </cdr:nvSpPr>
        <cdr:spPr>
          <a:xfrm xmlns:a="http://schemas.openxmlformats.org/drawingml/2006/main">
            <a:off x="5333175" y="5111141"/>
            <a:ext cx="451955" cy="8050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45</a:t>
            </a:r>
            <a:endParaRPr lang="ru-RU" sz="1600" b="0"/>
          </a:p>
        </cdr:txBody>
      </cdr:sp>
      <cdr:sp macro="" textlink="">
        <cdr:nvSpPr>
          <cdr:cNvPr id="9" name="TextBox 1">
            <a:extLst xmlns:a="http://schemas.openxmlformats.org/drawingml/2006/main">
              <a:ext uri="{FF2B5EF4-FFF2-40B4-BE49-F238E27FC236}">
                <a16:creationId xmlns:a16="http://schemas.microsoft.com/office/drawing/2014/main" id="{FEDA75D5-6FEF-816F-7018-10512A2DE41F}"/>
              </a:ext>
            </a:extLst>
          </cdr:cNvPr>
          <cdr:cNvSpPr txBox="1"/>
        </cdr:nvSpPr>
        <cdr:spPr>
          <a:xfrm xmlns:a="http://schemas.openxmlformats.org/drawingml/2006/main">
            <a:off x="6523241" y="4991918"/>
            <a:ext cx="451955" cy="3149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27</a:t>
            </a:r>
            <a:endParaRPr lang="ru-RU" sz="1600" b="0"/>
          </a:p>
        </cdr:txBody>
      </cdr:sp>
      <cdr:sp macro="" textlink="">
        <cdr:nvSpPr>
          <cdr:cNvPr id="10" name="TextBox 1">
            <a:extLst xmlns:a="http://schemas.openxmlformats.org/drawingml/2006/main">
              <a:ext uri="{FF2B5EF4-FFF2-40B4-BE49-F238E27FC236}">
                <a16:creationId xmlns:a16="http://schemas.microsoft.com/office/drawing/2014/main" id="{45E7C031-2295-D137-CA4C-EF40B0C21215}"/>
              </a:ext>
            </a:extLst>
          </cdr:cNvPr>
          <cdr:cNvSpPr txBox="1"/>
        </cdr:nvSpPr>
        <cdr:spPr>
          <a:xfrm xmlns:a="http://schemas.openxmlformats.org/drawingml/2006/main">
            <a:off x="7119163" y="4534156"/>
            <a:ext cx="451956" cy="3149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54</a:t>
            </a:r>
            <a:endParaRPr lang="ru-RU" sz="1600" b="0"/>
          </a:p>
        </cdr:txBody>
      </cdr:sp>
      <cdr:sp macro="" textlink="">
        <cdr:nvSpPr>
          <cdr:cNvPr id="17" name="TextBox 1">
            <a:extLst xmlns:a="http://schemas.openxmlformats.org/drawingml/2006/main">
              <a:ext uri="{FF2B5EF4-FFF2-40B4-BE49-F238E27FC236}">
                <a16:creationId xmlns:a16="http://schemas.microsoft.com/office/drawing/2014/main" id="{2F1BBCE3-DF4C-7DC7-8B20-354D66B61F2C}"/>
              </a:ext>
            </a:extLst>
          </cdr:cNvPr>
          <cdr:cNvSpPr txBox="1"/>
        </cdr:nvSpPr>
        <cdr:spPr>
          <a:xfrm xmlns:a="http://schemas.openxmlformats.org/drawingml/2006/main">
            <a:off x="7728840" y="5340083"/>
            <a:ext cx="451956" cy="3149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5</a:t>
            </a:r>
            <a:endParaRPr lang="ru-RU" sz="1600" b="0"/>
          </a:p>
        </cdr:txBody>
      </cdr:sp>
      <cdr:sp macro="" textlink="">
        <cdr:nvSpPr>
          <cdr:cNvPr id="18" name="TextBox 1">
            <a:extLst xmlns:a="http://schemas.openxmlformats.org/drawingml/2006/main">
              <a:ext uri="{FF2B5EF4-FFF2-40B4-BE49-F238E27FC236}">
                <a16:creationId xmlns:a16="http://schemas.microsoft.com/office/drawing/2014/main" id="{33901D87-CDD9-34D7-D44E-49CB987C0342}"/>
              </a:ext>
            </a:extLst>
          </cdr:cNvPr>
          <cdr:cNvSpPr txBox="1"/>
        </cdr:nvSpPr>
        <cdr:spPr>
          <a:xfrm xmlns:a="http://schemas.openxmlformats.org/drawingml/2006/main">
            <a:off x="8307963" y="5262072"/>
            <a:ext cx="451954" cy="31493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8</a:t>
            </a:r>
            <a:endParaRPr lang="ru-RU" sz="1600" b="0"/>
          </a:p>
        </cdr:txBody>
      </cdr:sp>
      <cdr:sp macro="" textlink="">
        <cdr:nvSpPr>
          <cdr:cNvPr id="19" name="TextBox 1">
            <a:extLst xmlns:a="http://schemas.openxmlformats.org/drawingml/2006/main">
              <a:ext uri="{FF2B5EF4-FFF2-40B4-BE49-F238E27FC236}">
                <a16:creationId xmlns:a16="http://schemas.microsoft.com/office/drawing/2014/main" id="{A1C5D911-3B8B-7989-2814-7A6AF4DC8DEE}"/>
              </a:ext>
            </a:extLst>
          </cdr:cNvPr>
          <cdr:cNvSpPr txBox="1"/>
        </cdr:nvSpPr>
        <cdr:spPr>
          <a:xfrm xmlns:a="http://schemas.openxmlformats.org/drawingml/2006/main">
            <a:off x="2846238" y="2812454"/>
            <a:ext cx="601830" cy="31816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192</a:t>
            </a:r>
            <a:endParaRPr lang="ru-RU" sz="1600" b="0"/>
          </a:p>
        </cdr:txBody>
      </cdr:sp>
      <cdr:sp macro="" textlink="">
        <cdr:nvSpPr>
          <cdr:cNvPr id="22" name="TextBox 1">
            <a:extLst xmlns:a="http://schemas.openxmlformats.org/drawingml/2006/main">
              <a:ext uri="{FF2B5EF4-FFF2-40B4-BE49-F238E27FC236}">
                <a16:creationId xmlns:a16="http://schemas.microsoft.com/office/drawing/2014/main" id="{700470CD-32DF-2366-03A8-D10629A98FD1}"/>
              </a:ext>
            </a:extLst>
          </cdr:cNvPr>
          <cdr:cNvSpPr txBox="1"/>
        </cdr:nvSpPr>
        <cdr:spPr>
          <a:xfrm xmlns:a="http://schemas.openxmlformats.org/drawingml/2006/main">
            <a:off x="3468089" y="2614681"/>
            <a:ext cx="553395" cy="31494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206</a:t>
            </a:r>
            <a:endParaRPr lang="ru-RU" sz="1600" b="0"/>
          </a:p>
        </cdr:txBody>
      </cdr:sp>
      <cdr:sp macro="" textlink="">
        <cdr:nvSpPr>
          <cdr:cNvPr id="23" name="TextBox 1">
            <a:extLst xmlns:a="http://schemas.openxmlformats.org/drawingml/2006/main">
              <a:ext uri="{FF2B5EF4-FFF2-40B4-BE49-F238E27FC236}">
                <a16:creationId xmlns:a16="http://schemas.microsoft.com/office/drawing/2014/main" id="{6CEEA044-03D9-725A-C0D9-B891497DD30D}"/>
              </a:ext>
            </a:extLst>
          </cdr:cNvPr>
          <cdr:cNvSpPr txBox="1"/>
        </cdr:nvSpPr>
        <cdr:spPr>
          <a:xfrm xmlns:a="http://schemas.openxmlformats.org/drawingml/2006/main">
            <a:off x="2292578" y="3950510"/>
            <a:ext cx="516863" cy="31267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115</a:t>
            </a:r>
            <a:endParaRPr lang="ru-RU" sz="1600" b="0"/>
          </a:p>
        </cdr:txBody>
      </cdr:sp>
      <cdr:sp macro="" textlink="">
        <cdr:nvSpPr>
          <cdr:cNvPr id="24" name="TextBox 1">
            <a:extLst xmlns:a="http://schemas.openxmlformats.org/drawingml/2006/main">
              <a:ext uri="{FF2B5EF4-FFF2-40B4-BE49-F238E27FC236}">
                <a16:creationId xmlns:a16="http://schemas.microsoft.com/office/drawing/2014/main" id="{55CFA9FE-7AEF-634C-716C-41891C175ECD}"/>
              </a:ext>
            </a:extLst>
          </cdr:cNvPr>
          <cdr:cNvSpPr txBox="1"/>
        </cdr:nvSpPr>
        <cdr:spPr>
          <a:xfrm xmlns:a="http://schemas.openxmlformats.org/drawingml/2006/main">
            <a:off x="1671086" y="4075477"/>
            <a:ext cx="533941" cy="330636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b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 b="0"/>
              <a:t>108</a:t>
            </a:r>
            <a:endParaRPr lang="ru-RU" sz="1600" b="0"/>
          </a:p>
        </cdr:txBody>
      </cdr:sp>
    </cdr:grpSp>
  </cdr:relSizeAnchor>
  <cdr:relSizeAnchor xmlns:cdr="http://schemas.openxmlformats.org/drawingml/2006/chartDrawing">
    <cdr:from>
      <cdr:x>0.92627</cdr:x>
      <cdr:y>0.06949</cdr:y>
    </cdr:from>
    <cdr:to>
      <cdr:x>0.99118</cdr:x>
      <cdr:y>0.11576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A0912E0-CD01-3211-9F6E-A806E982F027}"/>
            </a:ext>
          </a:extLst>
        </cdr:cNvPr>
        <cdr:cNvSpPr txBox="1"/>
      </cdr:nvSpPr>
      <cdr:spPr>
        <a:xfrm xmlns:a="http://schemas.openxmlformats.org/drawingml/2006/main">
          <a:off x="8654142" y="287743"/>
          <a:ext cx="606490" cy="1916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/>
            <a:t>303</a:t>
          </a:r>
          <a:endParaRPr lang="ru-RU" sz="1600" b="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337448</xdr:colOff>
      <xdr:row>17</xdr:row>
      <xdr:rowOff>110290</xdr:rowOff>
    </xdr:from>
    <xdr:to>
      <xdr:col>19</xdr:col>
      <xdr:colOff>35477</xdr:colOff>
      <xdr:row>28</xdr:row>
      <xdr:rowOff>16793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31EBBD-894D-4E4E-8A3B-7A4641857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278329</xdr:colOff>
      <xdr:row>0</xdr:row>
      <xdr:rowOff>76493</xdr:rowOff>
    </xdr:from>
    <xdr:to>
      <xdr:col>16</xdr:col>
      <xdr:colOff>148167</xdr:colOff>
      <xdr:row>9</xdr:row>
      <xdr:rowOff>158748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11A3C8-7AD5-4E6A-9D8F-2999FDA7D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40640</xdr:colOff>
      <xdr:row>3</xdr:row>
      <xdr:rowOff>53340</xdr:rowOff>
    </xdr:from>
    <xdr:to>
      <xdr:col>11</xdr:col>
      <xdr:colOff>65775</xdr:colOff>
      <xdr:row>33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E6B00E-0043-47EB-AC44-BEA333307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28223</xdr:colOff>
      <xdr:row>3</xdr:row>
      <xdr:rowOff>128599</xdr:rowOff>
    </xdr:from>
    <xdr:to>
      <xdr:col>11</xdr:col>
      <xdr:colOff>65851</xdr:colOff>
      <xdr:row>33</xdr:row>
      <xdr:rowOff>159079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4407C2-8B42-43D5-9C95-56DC42CC3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0</xdr:rowOff>
    </xdr:from>
    <xdr:to>
      <xdr:col>25</xdr:col>
      <xdr:colOff>335280</xdr:colOff>
      <xdr:row>29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A26E10-8DD6-49A6-9902-567176DC1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601980</xdr:colOff>
      <xdr:row>3</xdr:row>
      <xdr:rowOff>0</xdr:rowOff>
    </xdr:from>
    <xdr:to>
      <xdr:col>25</xdr:col>
      <xdr:colOff>373380</xdr:colOff>
      <xdr:row>25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B2E06E-29AF-4B0E-91F4-45E7C180D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0.72127</cdr:x>
      <cdr:y>0.03849</cdr:y>
    </cdr:from>
    <cdr:to>
      <cdr:x>0.72927</cdr:x>
      <cdr:y>0.03849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27EAB05E-E123-8426-7B1C-30928D4C329C}"/>
            </a:ext>
          </a:extLst>
        </cdr:cNvPr>
        <cdr:cNvCxnSpPr/>
      </cdr:nvCxnSpPr>
      <cdr:spPr>
        <a:xfrm xmlns:a="http://schemas.openxmlformats.org/drawingml/2006/main">
          <a:off x="8683947" y="165566"/>
          <a:ext cx="96253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601980</xdr:colOff>
      <xdr:row>3</xdr:row>
      <xdr:rowOff>0</xdr:rowOff>
    </xdr:from>
    <xdr:to>
      <xdr:col>25</xdr:col>
      <xdr:colOff>373380</xdr:colOff>
      <xdr:row>25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07B9F2-46B7-4B25-A5AA-B7F1F6CAD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25</xdr:col>
      <xdr:colOff>335280</xdr:colOff>
      <xdr:row>25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6E179C-52BF-4EE4-B996-C428B28A3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26089</xdr:colOff>
      <xdr:row>2</xdr:row>
      <xdr:rowOff>171903</xdr:rowOff>
    </xdr:from>
    <xdr:to>
      <xdr:col>35</xdr:col>
      <xdr:colOff>356461</xdr:colOff>
      <xdr:row>26</xdr:row>
      <xdr:rowOff>1679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C45C8A-E3DC-49B9-93F4-D098AC70E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289560</xdr:colOff>
      <xdr:row>2</xdr:row>
      <xdr:rowOff>66675</xdr:rowOff>
    </xdr:from>
    <xdr:to>
      <xdr:col>24</xdr:col>
      <xdr:colOff>0</xdr:colOff>
      <xdr:row>25</xdr:row>
      <xdr:rowOff>38135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B17560E-7CD9-425D-AAD9-68B0F5C06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25</xdr:col>
      <xdr:colOff>335280</xdr:colOff>
      <xdr:row>25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379E24-B41F-4C8B-8EE9-C73A6DD11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0.11728</cdr:x>
      <cdr:y>0.3554</cdr:y>
    </cdr:from>
    <cdr:to>
      <cdr:x>0.30791</cdr:x>
      <cdr:y>0.58945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4ADC2DB-4319-2973-1DA5-CBC23BA2D571}"/>
            </a:ext>
          </a:extLst>
        </cdr:cNvPr>
        <cdr:cNvCxnSpPr/>
      </cdr:nvCxnSpPr>
      <cdr:spPr>
        <a:xfrm xmlns:a="http://schemas.openxmlformats.org/drawingml/2006/main" flipV="1">
          <a:off x="408300" y="578558"/>
          <a:ext cx="663677" cy="381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0.12081</cdr:x>
      <cdr:y>0.6272</cdr:y>
    </cdr:from>
    <cdr:to>
      <cdr:x>0.30085</cdr:x>
      <cdr:y>0.99714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286350C-1FD2-C56B-0DF6-2CAE865A7DFE}"/>
            </a:ext>
          </a:extLst>
        </cdr:cNvPr>
        <cdr:cNvCxnSpPr/>
      </cdr:nvCxnSpPr>
      <cdr:spPr>
        <a:xfrm xmlns:a="http://schemas.openxmlformats.org/drawingml/2006/main">
          <a:off x="420590" y="1021010"/>
          <a:ext cx="626807" cy="6022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16137</xdr:colOff>
      <xdr:row>1</xdr:row>
      <xdr:rowOff>62179</xdr:rowOff>
    </xdr:from>
    <xdr:to>
      <xdr:col>1</xdr:col>
      <xdr:colOff>637114</xdr:colOff>
      <xdr:row>9</xdr:row>
      <xdr:rowOff>93312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7" y="617278"/>
          <a:ext cx="2729081" cy="20698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40369</xdr:colOff>
      <xdr:row>1</xdr:row>
      <xdr:rowOff>17007</xdr:rowOff>
    </xdr:from>
    <xdr:to>
      <xdr:col>18</xdr:col>
      <xdr:colOff>235858</xdr:colOff>
      <xdr:row>16</xdr:row>
      <xdr:rowOff>709385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91871</xdr:colOff>
      <xdr:row>1</xdr:row>
      <xdr:rowOff>46855</xdr:rowOff>
    </xdr:from>
    <xdr:to>
      <xdr:col>17</xdr:col>
      <xdr:colOff>553358</xdr:colOff>
      <xdr:row>17</xdr:row>
      <xdr:rowOff>12290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139065</xdr:colOff>
      <xdr:row>1</xdr:row>
      <xdr:rowOff>25717</xdr:rowOff>
    </xdr:from>
    <xdr:to>
      <xdr:col>18</xdr:col>
      <xdr:colOff>362505</xdr:colOff>
      <xdr:row>16</xdr:row>
      <xdr:rowOff>525263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40885</xdr:colOff>
      <xdr:row>1</xdr:row>
      <xdr:rowOff>9597</xdr:rowOff>
    </xdr:from>
    <xdr:to>
      <xdr:col>19</xdr:col>
      <xdr:colOff>7620</xdr:colOff>
      <xdr:row>14</xdr:row>
      <xdr:rowOff>723900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29526</xdr:colOff>
      <xdr:row>1</xdr:row>
      <xdr:rowOff>40956</xdr:rowOff>
    </xdr:from>
    <xdr:to>
      <xdr:col>17</xdr:col>
      <xdr:colOff>563879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izonastateu-my.sharepoint.com/personal/ikukula_sundevils_asu_edu/Documents/Calcs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ll/desktop%20files/Copper%20Paper/Calcs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f69870b9ddc92b4/Desktop/H2%20instead%20of%20diesel%20for%20trucks%20SI%204-24-2024.xlsx" TargetMode="External"/><Relationship Id="rId1" Type="http://schemas.openxmlformats.org/officeDocument/2006/relationships/externalLinkPath" Target="H2%20instead%20of%20diesel%20for%20trucks%20SI%204-24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9 remake"/>
      <sheetName val="Abatement costs"/>
      <sheetName val="For las figure"/>
      <sheetName val="Input costs + carbon tax"/>
      <sheetName val="aaaa"/>
      <sheetName val="aaaa (blue)"/>
      <sheetName val="aaaa (PTC)"/>
      <sheetName val="Carbon Tax"/>
      <sheetName val="Carbon Tax (2)"/>
      <sheetName val="PTC"/>
      <sheetName val="aaaa (PTC) (3)"/>
      <sheetName val="For las figure (green)"/>
      <sheetName val="Emissions breakdown"/>
      <sheetName val="For las figure (blue)"/>
      <sheetName val="Input costs + carbon tax (2)"/>
      <sheetName val="Upstream emission"/>
      <sheetName val="PREHEAT"/>
      <sheetName val="REDUCTANT"/>
      <sheetName val="MAX"/>
      <sheetName val="Heat FR"/>
      <sheetName val="Methane"/>
      <sheetName val="Coke"/>
      <sheetName val="Hydrogen"/>
      <sheetName val="Copper oxide"/>
      <sheetName val="Air"/>
      <sheetName val="Methane (new)"/>
      <sheetName val="Coke (new)"/>
      <sheetName val="Hydrogen (new)"/>
      <sheetName val="Copper oxide (new)"/>
      <sheetName val="Air (new)"/>
      <sheetName val="SI - Anode Furna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 t="str">
            <v>Cp, J/K*mol</v>
          </cell>
        </row>
        <row r="2">
          <cell r="A2">
            <v>300</v>
          </cell>
          <cell r="B2">
            <v>35.707999999999998</v>
          </cell>
        </row>
        <row r="3">
          <cell r="A3">
            <v>350</v>
          </cell>
          <cell r="B3">
            <v>37.874000000000002</v>
          </cell>
        </row>
        <row r="4">
          <cell r="A4">
            <v>400</v>
          </cell>
          <cell r="B4">
            <v>40.5</v>
          </cell>
        </row>
        <row r="5">
          <cell r="A5">
            <v>450</v>
          </cell>
          <cell r="B5">
            <v>43.374000000000002</v>
          </cell>
        </row>
        <row r="6">
          <cell r="A6">
            <v>500</v>
          </cell>
          <cell r="B6">
            <v>46.341999999999999</v>
          </cell>
        </row>
        <row r="7">
          <cell r="A7">
            <v>600</v>
          </cell>
          <cell r="B7">
            <v>52.226999999999997</v>
          </cell>
        </row>
        <row r="8">
          <cell r="A8">
            <v>700</v>
          </cell>
          <cell r="B8">
            <v>57.793999999999997</v>
          </cell>
        </row>
        <row r="9">
          <cell r="A9">
            <v>800</v>
          </cell>
          <cell r="B9">
            <v>62.932000000000002</v>
          </cell>
        </row>
        <row r="10">
          <cell r="A10">
            <v>900</v>
          </cell>
          <cell r="B10">
            <v>67.600999999999999</v>
          </cell>
        </row>
        <row r="11">
          <cell r="A11">
            <v>1000</v>
          </cell>
          <cell r="B11">
            <v>71.795000000000002</v>
          </cell>
        </row>
        <row r="12">
          <cell r="A12">
            <v>1100</v>
          </cell>
          <cell r="B12">
            <v>75.528999999999996</v>
          </cell>
        </row>
        <row r="13">
          <cell r="A13">
            <v>1200</v>
          </cell>
          <cell r="B13">
            <v>78.832999999999998</v>
          </cell>
        </row>
        <row r="14">
          <cell r="A14">
            <v>1300</v>
          </cell>
          <cell r="B14">
            <v>81.744</v>
          </cell>
        </row>
        <row r="15">
          <cell r="A15">
            <v>1400</v>
          </cell>
          <cell r="B15">
            <v>84.305000000000007</v>
          </cell>
        </row>
        <row r="16">
          <cell r="A16">
            <v>1500</v>
          </cell>
          <cell r="B16">
            <v>86.555999999999997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atement costs"/>
      <sheetName val="For las figure"/>
      <sheetName val="Input costs + carbon tax"/>
      <sheetName val="aaaa"/>
      <sheetName val="aaaa (blue)"/>
      <sheetName val="aaaa (PTC)"/>
      <sheetName val="Carbon Tax"/>
      <sheetName val="Carbon Tax (2)"/>
      <sheetName val="PTC"/>
      <sheetName val="aaaa (PTC) (3)"/>
      <sheetName val="For las figure (green)"/>
      <sheetName val="Table 4"/>
      <sheetName val="Emissions breakdown"/>
      <sheetName val="For las figure (blue)"/>
      <sheetName val="Input costs + carbon tax (2)"/>
      <sheetName val="Upstream emission"/>
      <sheetName val="PREHEAT"/>
      <sheetName val="REDUCTANT"/>
      <sheetName val="MAX"/>
      <sheetName val="Heat FR"/>
      <sheetName val="Methane"/>
      <sheetName val="Coke"/>
      <sheetName val="Hydrogen"/>
      <sheetName val="Copper oxide"/>
      <sheetName val="Air"/>
      <sheetName val="Sheet1"/>
      <sheetName val="SI Table 4"/>
      <sheetName val="SI Table 3"/>
      <sheetName val="SI Table 8"/>
      <sheetName val="PTC (1-1 ratio)"/>
      <sheetName val="Carbon Tax (1-1 rati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Data"/>
      <sheetName val="sensitivity PTC"/>
      <sheetName val="sensitivity 45Q"/>
      <sheetName val="PTC (0.8-1)"/>
      <sheetName val="PTC (1-1)"/>
      <sheetName val="PTC (1.2-1)"/>
      <sheetName val="Carbon Tax (0.8-1) "/>
      <sheetName val="Carbon Tax (1-1)"/>
      <sheetName val="Carbon Tax (1.2-1)"/>
    </sheetNames>
    <sheetDataSet>
      <sheetData sheetId="0" refreshError="1"/>
      <sheetData sheetId="1" refreshError="1"/>
      <sheetData sheetId="2" refreshError="1"/>
      <sheetData sheetId="3">
        <row r="2">
          <cell r="F2" t="str">
            <v>No PTC (0.8)</v>
          </cell>
          <cell r="H2" t="str">
            <v>$0.6/kg H2 (0.8)</v>
          </cell>
          <cell r="J2" t="str">
            <v>$0.75/kg H2 (0.8)</v>
          </cell>
          <cell r="L2" t="str">
            <v>$1.002/kg H2 (0.8)</v>
          </cell>
          <cell r="N2" t="str">
            <v>$3/kg H2 (0.8)</v>
          </cell>
        </row>
        <row r="4">
          <cell r="G4">
            <v>2.8799278846153848</v>
          </cell>
          <cell r="I4">
            <v>3.4799278846153849</v>
          </cell>
          <cell r="K4">
            <v>3.6299278846153848</v>
          </cell>
          <cell r="M4">
            <v>3.8819278846153846</v>
          </cell>
          <cell r="O4">
            <v>5.8799278846153848</v>
          </cell>
        </row>
        <row r="5">
          <cell r="G5">
            <v>3.1299278846153848</v>
          </cell>
          <cell r="I5">
            <v>3.7299278846153849</v>
          </cell>
          <cell r="K5">
            <v>3.8799278846153848</v>
          </cell>
          <cell r="M5">
            <v>4.1319278846153846</v>
          </cell>
          <cell r="O5">
            <v>6.1299278846153848</v>
          </cell>
        </row>
        <row r="6">
          <cell r="G6">
            <v>3.3799278846153853</v>
          </cell>
          <cell r="I6">
            <v>3.9799278846153854</v>
          </cell>
          <cell r="K6">
            <v>4.1299278846153857</v>
          </cell>
          <cell r="M6">
            <v>4.3819278846153855</v>
          </cell>
          <cell r="O6">
            <v>6.3799278846153857</v>
          </cell>
        </row>
        <row r="7">
          <cell r="G7">
            <v>3.6299278846153857</v>
          </cell>
          <cell r="I7">
            <v>4.2299278846153854</v>
          </cell>
          <cell r="K7">
            <v>4.3799278846153857</v>
          </cell>
          <cell r="M7">
            <v>4.6319278846153855</v>
          </cell>
          <cell r="O7">
            <v>6.6299278846153857</v>
          </cell>
        </row>
        <row r="8">
          <cell r="G8">
            <v>3.8799278846153862</v>
          </cell>
          <cell r="I8">
            <v>4.4799278846153863</v>
          </cell>
          <cell r="K8">
            <v>4.6299278846153857</v>
          </cell>
          <cell r="M8">
            <v>4.8819278846153864</v>
          </cell>
          <cell r="O8">
            <v>6.8799278846153857</v>
          </cell>
        </row>
        <row r="9">
          <cell r="G9">
            <v>4.1299278846153857</v>
          </cell>
          <cell r="I9">
            <v>4.7299278846153854</v>
          </cell>
          <cell r="K9">
            <v>4.8799278846153857</v>
          </cell>
          <cell r="M9">
            <v>5.1319278846153855</v>
          </cell>
          <cell r="O9">
            <v>7.1299278846153857</v>
          </cell>
        </row>
        <row r="10">
          <cell r="G10">
            <v>4.3799278846153857</v>
          </cell>
          <cell r="I10">
            <v>4.9799278846153854</v>
          </cell>
          <cell r="K10">
            <v>5.1299278846153857</v>
          </cell>
          <cell r="M10">
            <v>5.3819278846153855</v>
          </cell>
          <cell r="O10">
            <v>7.3799278846153857</v>
          </cell>
        </row>
        <row r="11">
          <cell r="G11">
            <v>4.6299278846153857</v>
          </cell>
          <cell r="I11">
            <v>5.2299278846153854</v>
          </cell>
          <cell r="K11">
            <v>5.3799278846153857</v>
          </cell>
          <cell r="M11">
            <v>5.6319278846153855</v>
          </cell>
          <cell r="O11">
            <v>7.6299278846153857</v>
          </cell>
        </row>
        <row r="12">
          <cell r="G12">
            <v>4.8799278846153866</v>
          </cell>
          <cell r="I12">
            <v>5.4799278846153863</v>
          </cell>
          <cell r="K12">
            <v>5.6299278846153866</v>
          </cell>
          <cell r="M12">
            <v>5.8819278846153864</v>
          </cell>
          <cell r="O12">
            <v>7.8799278846153866</v>
          </cell>
        </row>
        <row r="13">
          <cell r="G13">
            <v>5.1299278846153857</v>
          </cell>
          <cell r="I13">
            <v>5.7299278846153854</v>
          </cell>
          <cell r="K13">
            <v>5.8799278846153857</v>
          </cell>
          <cell r="M13">
            <v>6.1319278846153855</v>
          </cell>
          <cell r="O13">
            <v>8.1299278846153857</v>
          </cell>
        </row>
        <row r="14">
          <cell r="G14">
            <v>5.3799278846153866</v>
          </cell>
          <cell r="I14">
            <v>5.9799278846153863</v>
          </cell>
          <cell r="K14">
            <v>6.1299278846153866</v>
          </cell>
          <cell r="M14">
            <v>6.3819278846153864</v>
          </cell>
          <cell r="O14">
            <v>8.3799278846153875</v>
          </cell>
        </row>
        <row r="15">
          <cell r="G15">
            <v>5.6299278846153866</v>
          </cell>
          <cell r="I15">
            <v>6.2299278846153863</v>
          </cell>
          <cell r="K15">
            <v>6.3799278846153866</v>
          </cell>
          <cell r="M15">
            <v>6.6319278846153864</v>
          </cell>
          <cell r="O15">
            <v>8.6299278846153875</v>
          </cell>
        </row>
        <row r="16">
          <cell r="G16">
            <v>5.8799278846153866</v>
          </cell>
          <cell r="I16">
            <v>6.4799278846153863</v>
          </cell>
          <cell r="K16">
            <v>6.6299278846153866</v>
          </cell>
          <cell r="M16">
            <v>6.8819278846153864</v>
          </cell>
          <cell r="O16">
            <v>8.8799278846153875</v>
          </cell>
        </row>
        <row r="17">
          <cell r="G17">
            <v>6.1299278846153866</v>
          </cell>
          <cell r="I17">
            <v>6.7299278846153863</v>
          </cell>
          <cell r="K17">
            <v>6.8799278846153866</v>
          </cell>
          <cell r="M17">
            <v>7.1319278846153864</v>
          </cell>
          <cell r="O17">
            <v>9.1299278846153875</v>
          </cell>
        </row>
        <row r="18">
          <cell r="G18">
            <v>6.3799278846153875</v>
          </cell>
          <cell r="I18">
            <v>6.9799278846153872</v>
          </cell>
          <cell r="K18">
            <v>7.1299278846153875</v>
          </cell>
          <cell r="M18">
            <v>7.3819278846153873</v>
          </cell>
          <cell r="O18">
            <v>9.3799278846153875</v>
          </cell>
        </row>
        <row r="19">
          <cell r="G19">
            <v>6.6299278846153875</v>
          </cell>
          <cell r="I19">
            <v>7.2299278846153872</v>
          </cell>
          <cell r="K19">
            <v>7.3799278846153875</v>
          </cell>
          <cell r="M19">
            <v>7.6319278846153873</v>
          </cell>
          <cell r="O19">
            <v>9.6299278846153875</v>
          </cell>
        </row>
        <row r="27">
          <cell r="C27">
            <v>2.3039423076923078</v>
          </cell>
          <cell r="E27">
            <v>54.153068696493314</v>
          </cell>
        </row>
        <row r="28">
          <cell r="C28">
            <v>2.503942307692308</v>
          </cell>
          <cell r="E28">
            <v>58.853973620691221</v>
          </cell>
        </row>
        <row r="29">
          <cell r="C29">
            <v>2.7039423076923081</v>
          </cell>
          <cell r="E29">
            <v>63.554878544889128</v>
          </cell>
        </row>
        <row r="30">
          <cell r="C30">
            <v>2.9039423076923083</v>
          </cell>
          <cell r="E30">
            <v>68.255783469087049</v>
          </cell>
        </row>
        <row r="31">
          <cell r="C31">
            <v>3.1039423076923085</v>
          </cell>
          <cell r="E31">
            <v>72.956688393284963</v>
          </cell>
        </row>
        <row r="32">
          <cell r="C32">
            <v>3.3039423076923087</v>
          </cell>
          <cell r="E32">
            <v>77.657593317482863</v>
          </cell>
        </row>
        <row r="33">
          <cell r="C33">
            <v>3.5039423076923089</v>
          </cell>
          <cell r="E33">
            <v>82.358498241680792</v>
          </cell>
        </row>
        <row r="34">
          <cell r="C34">
            <v>3.703942307692309</v>
          </cell>
          <cell r="E34">
            <v>87.059403165878692</v>
          </cell>
        </row>
        <row r="35">
          <cell r="C35">
            <v>3.9039423076923092</v>
          </cell>
          <cell r="E35">
            <v>91.760308090076606</v>
          </cell>
        </row>
        <row r="36">
          <cell r="C36">
            <v>4.1039423076923089</v>
          </cell>
          <cell r="E36">
            <v>96.461213014274492</v>
          </cell>
        </row>
        <row r="37">
          <cell r="C37">
            <v>4.3039423076923091</v>
          </cell>
          <cell r="E37">
            <v>101.16211793847242</v>
          </cell>
        </row>
        <row r="38">
          <cell r="C38">
            <v>4.5039423076923093</v>
          </cell>
          <cell r="E38">
            <v>105.86302286267033</v>
          </cell>
        </row>
        <row r="39">
          <cell r="C39">
            <v>4.7039423076923095</v>
          </cell>
          <cell r="E39">
            <v>110.56392778686825</v>
          </cell>
        </row>
        <row r="40">
          <cell r="C40">
            <v>4.9039423076923097</v>
          </cell>
          <cell r="E40">
            <v>115.26483271106616</v>
          </cell>
        </row>
        <row r="41">
          <cell r="C41">
            <v>5.1039423076923098</v>
          </cell>
          <cell r="E41">
            <v>119.96573763526409</v>
          </cell>
        </row>
        <row r="42">
          <cell r="C42">
            <v>5.30394230769231</v>
          </cell>
          <cell r="E42">
            <v>124.66664255946198</v>
          </cell>
        </row>
      </sheetData>
      <sheetData sheetId="4">
        <row r="2">
          <cell r="F2" t="str">
            <v>No PTC (1)</v>
          </cell>
          <cell r="H2" t="str">
            <v>$0.6/kg H2 (1)</v>
          </cell>
          <cell r="J2" t="str">
            <v>$0.75/kg H2 (1)</v>
          </cell>
          <cell r="L2" t="str">
            <v>$1.002/kg H2 (1)</v>
          </cell>
          <cell r="N2" t="str">
            <v>$3/kg H2 (1)</v>
          </cell>
        </row>
        <row r="4">
          <cell r="G4">
            <v>2.3039423076923078</v>
          </cell>
          <cell r="I4">
            <v>2.9039423076923079</v>
          </cell>
          <cell r="K4">
            <v>3.0539423076923078</v>
          </cell>
          <cell r="M4">
            <v>3.305942307692308</v>
          </cell>
          <cell r="O4">
            <v>5.3039423076923082</v>
          </cell>
        </row>
        <row r="5">
          <cell r="G5">
            <v>2.503942307692308</v>
          </cell>
          <cell r="I5">
            <v>3.1039423076923081</v>
          </cell>
          <cell r="K5">
            <v>3.253942307692308</v>
          </cell>
          <cell r="M5">
            <v>3.5059423076923082</v>
          </cell>
          <cell r="O5">
            <v>5.5039423076923075</v>
          </cell>
        </row>
        <row r="6">
          <cell r="G6">
            <v>2.7039423076923081</v>
          </cell>
          <cell r="I6">
            <v>3.3039423076923082</v>
          </cell>
          <cell r="K6">
            <v>3.4539423076923081</v>
          </cell>
          <cell r="M6">
            <v>3.7059423076923084</v>
          </cell>
          <cell r="O6">
            <v>5.7039423076923086</v>
          </cell>
        </row>
        <row r="7">
          <cell r="G7">
            <v>2.9039423076923083</v>
          </cell>
          <cell r="I7">
            <v>3.5039423076923084</v>
          </cell>
          <cell r="K7">
            <v>3.6539423076923083</v>
          </cell>
          <cell r="M7">
            <v>3.9059423076923085</v>
          </cell>
          <cell r="O7">
            <v>5.9039423076923079</v>
          </cell>
        </row>
        <row r="8">
          <cell r="G8">
            <v>3.1039423076923089</v>
          </cell>
          <cell r="I8">
            <v>3.703942307692309</v>
          </cell>
          <cell r="K8">
            <v>3.8539423076923089</v>
          </cell>
          <cell r="M8">
            <v>4.1059423076923087</v>
          </cell>
          <cell r="O8">
            <v>6.1039423076923089</v>
          </cell>
        </row>
        <row r="9">
          <cell r="G9">
            <v>3.3039423076923087</v>
          </cell>
          <cell r="I9">
            <v>3.9039423076923088</v>
          </cell>
          <cell r="K9">
            <v>4.0539423076923082</v>
          </cell>
          <cell r="M9">
            <v>4.3059423076923089</v>
          </cell>
          <cell r="O9">
            <v>6.3039423076923082</v>
          </cell>
        </row>
        <row r="10">
          <cell r="G10">
            <v>3.5039423076923089</v>
          </cell>
          <cell r="I10">
            <v>4.1039423076923089</v>
          </cell>
          <cell r="K10">
            <v>4.2539423076923093</v>
          </cell>
          <cell r="M10">
            <v>4.5059423076923091</v>
          </cell>
          <cell r="O10">
            <v>6.5039423076923093</v>
          </cell>
        </row>
        <row r="11">
          <cell r="G11">
            <v>3.7039423076923086</v>
          </cell>
          <cell r="I11">
            <v>4.3039423076923082</v>
          </cell>
          <cell r="K11">
            <v>4.4539423076923086</v>
          </cell>
          <cell r="M11">
            <v>4.7059423076923084</v>
          </cell>
          <cell r="O11">
            <v>6.7039423076923086</v>
          </cell>
        </row>
        <row r="12">
          <cell r="G12">
            <v>3.9039423076923097</v>
          </cell>
          <cell r="I12">
            <v>4.5039423076923093</v>
          </cell>
          <cell r="K12">
            <v>4.6539423076923097</v>
          </cell>
          <cell r="M12">
            <v>4.9059423076923094</v>
          </cell>
          <cell r="O12">
            <v>6.9039423076923097</v>
          </cell>
        </row>
        <row r="13">
          <cell r="G13">
            <v>4.1039423076923089</v>
          </cell>
          <cell r="I13">
            <v>4.7039423076923086</v>
          </cell>
          <cell r="K13">
            <v>4.8539423076923089</v>
          </cell>
          <cell r="M13">
            <v>5.1059423076923087</v>
          </cell>
          <cell r="O13">
            <v>7.1039423076923089</v>
          </cell>
        </row>
        <row r="14">
          <cell r="G14">
            <v>4.3039423076923091</v>
          </cell>
          <cell r="I14">
            <v>4.9039423076923088</v>
          </cell>
          <cell r="K14">
            <v>5.0539423076923091</v>
          </cell>
          <cell r="M14">
            <v>5.3059423076923089</v>
          </cell>
          <cell r="O14">
            <v>7.3039423076923091</v>
          </cell>
        </row>
        <row r="15">
          <cell r="G15">
            <v>4.5039423076923093</v>
          </cell>
          <cell r="I15">
            <v>5.1039423076923089</v>
          </cell>
          <cell r="K15">
            <v>5.2539423076923093</v>
          </cell>
          <cell r="M15">
            <v>5.5059423076923091</v>
          </cell>
          <cell r="O15">
            <v>7.5039423076923093</v>
          </cell>
        </row>
        <row r="16">
          <cell r="G16">
            <v>4.7039423076923095</v>
          </cell>
          <cell r="I16">
            <v>5.3039423076923091</v>
          </cell>
          <cell r="K16">
            <v>5.4539423076923095</v>
          </cell>
          <cell r="M16">
            <v>5.7059423076923093</v>
          </cell>
          <cell r="O16">
            <v>7.7039423076923095</v>
          </cell>
        </row>
        <row r="17">
          <cell r="G17">
            <v>4.9039423076923097</v>
          </cell>
          <cell r="I17">
            <v>5.5039423076923093</v>
          </cell>
          <cell r="K17">
            <v>5.6539423076923097</v>
          </cell>
          <cell r="M17">
            <v>5.9059423076923094</v>
          </cell>
          <cell r="O17">
            <v>7.9039423076923097</v>
          </cell>
        </row>
        <row r="18">
          <cell r="G18">
            <v>5.1039423076923098</v>
          </cell>
          <cell r="I18">
            <v>5.7039423076923095</v>
          </cell>
          <cell r="K18">
            <v>5.8539423076923098</v>
          </cell>
          <cell r="M18">
            <v>6.1059423076923096</v>
          </cell>
          <cell r="O18">
            <v>8.1039423076923107</v>
          </cell>
        </row>
        <row r="19">
          <cell r="G19">
            <v>5.30394230769231</v>
          </cell>
          <cell r="I19">
            <v>5.9039423076923097</v>
          </cell>
          <cell r="K19">
            <v>6.05394230769231</v>
          </cell>
          <cell r="M19">
            <v>6.3059423076923098</v>
          </cell>
          <cell r="O19">
            <v>8.30394230769231</v>
          </cell>
        </row>
        <row r="27">
          <cell r="C27">
            <v>2.3039423076923078</v>
          </cell>
          <cell r="E27">
            <v>54.153068696493314</v>
          </cell>
        </row>
        <row r="28">
          <cell r="C28">
            <v>2.503942307692308</v>
          </cell>
          <cell r="E28">
            <v>58.853973620691221</v>
          </cell>
        </row>
        <row r="29">
          <cell r="C29">
            <v>2.7039423076923081</v>
          </cell>
          <cell r="E29">
            <v>63.554878544889128</v>
          </cell>
        </row>
        <row r="30">
          <cell r="C30">
            <v>2.9039423076923083</v>
          </cell>
          <cell r="E30">
            <v>68.255783469087049</v>
          </cell>
        </row>
        <row r="31">
          <cell r="C31">
            <v>3.1039423076923085</v>
          </cell>
          <cell r="E31">
            <v>72.956688393284963</v>
          </cell>
        </row>
        <row r="32">
          <cell r="C32">
            <v>3.3039423076923087</v>
          </cell>
          <cell r="E32">
            <v>77.657593317482863</v>
          </cell>
        </row>
        <row r="33">
          <cell r="C33">
            <v>3.5039423076923089</v>
          </cell>
          <cell r="E33">
            <v>82.358498241680792</v>
          </cell>
        </row>
        <row r="34">
          <cell r="C34">
            <v>3.703942307692309</v>
          </cell>
          <cell r="E34">
            <v>87.059403165878692</v>
          </cell>
        </row>
        <row r="35">
          <cell r="C35">
            <v>3.9039423076923092</v>
          </cell>
          <cell r="E35">
            <v>91.760308090076606</v>
          </cell>
        </row>
        <row r="36">
          <cell r="C36">
            <v>4.1039423076923089</v>
          </cell>
          <cell r="E36">
            <v>96.461213014274492</v>
          </cell>
        </row>
        <row r="37">
          <cell r="C37">
            <v>4.3039423076923091</v>
          </cell>
          <cell r="E37">
            <v>101.16211793847242</v>
          </cell>
        </row>
        <row r="38">
          <cell r="C38">
            <v>4.5039423076923093</v>
          </cell>
          <cell r="E38">
            <v>105.86302286267033</v>
          </cell>
        </row>
        <row r="39">
          <cell r="C39">
            <v>4.7039423076923095</v>
          </cell>
          <cell r="E39">
            <v>110.56392778686825</v>
          </cell>
        </row>
        <row r="40">
          <cell r="C40">
            <v>4.9039423076923097</v>
          </cell>
          <cell r="E40">
            <v>115.26483271106616</v>
          </cell>
        </row>
        <row r="41">
          <cell r="C41">
            <v>5.1039423076923098</v>
          </cell>
          <cell r="E41">
            <v>119.96573763526409</v>
          </cell>
        </row>
        <row r="42">
          <cell r="C42">
            <v>5.30394230769231</v>
          </cell>
          <cell r="E42">
            <v>124.66664255946198</v>
          </cell>
        </row>
      </sheetData>
      <sheetData sheetId="5">
        <row r="2">
          <cell r="F2" t="str">
            <v>No PTC (1.2)</v>
          </cell>
          <cell r="H2" t="str">
            <v>$0.6/kg H2 (1.2)</v>
          </cell>
          <cell r="J2" t="str">
            <v>$0.75/kg H2 (1.2)</v>
          </cell>
          <cell r="L2" t="str">
            <v>$1.002/kg H2 (1.2)</v>
          </cell>
          <cell r="N2" t="str">
            <v>$3/kg H2 (1.2)</v>
          </cell>
        </row>
        <row r="4">
          <cell r="G4">
            <v>1.9199519230769231</v>
          </cell>
          <cell r="I4">
            <v>2.5199519230769232</v>
          </cell>
          <cell r="K4">
            <v>2.6699519230769231</v>
          </cell>
          <cell r="M4">
            <v>2.9219519230769233</v>
          </cell>
          <cell r="O4">
            <v>4.9199519230769226</v>
          </cell>
        </row>
        <row r="5">
          <cell r="G5">
            <v>2.08661858974359</v>
          </cell>
          <cell r="I5">
            <v>2.6866185897435901</v>
          </cell>
          <cell r="K5">
            <v>2.83661858974359</v>
          </cell>
          <cell r="M5">
            <v>3.0886185897435903</v>
          </cell>
          <cell r="O5">
            <v>5.0866185897435905</v>
          </cell>
        </row>
        <row r="6">
          <cell r="G6">
            <v>2.2532852564102566</v>
          </cell>
          <cell r="I6">
            <v>2.8532852564102567</v>
          </cell>
          <cell r="K6">
            <v>3.0032852564102566</v>
          </cell>
          <cell r="M6">
            <v>3.2552852564102563</v>
          </cell>
          <cell r="O6">
            <v>5.2532852564102566</v>
          </cell>
        </row>
        <row r="7">
          <cell r="G7">
            <v>2.4199519230769235</v>
          </cell>
          <cell r="I7">
            <v>3.0199519230769236</v>
          </cell>
          <cell r="K7">
            <v>3.1699519230769235</v>
          </cell>
          <cell r="M7">
            <v>3.4219519230769233</v>
          </cell>
          <cell r="O7">
            <v>5.4199519230769235</v>
          </cell>
        </row>
        <row r="8">
          <cell r="G8">
            <v>2.5866185897435905</v>
          </cell>
          <cell r="I8">
            <v>3.1866185897435906</v>
          </cell>
          <cell r="K8">
            <v>3.3366185897435905</v>
          </cell>
          <cell r="M8">
            <v>3.5886185897435903</v>
          </cell>
          <cell r="O8">
            <v>5.5866185897435905</v>
          </cell>
        </row>
        <row r="9">
          <cell r="G9">
            <v>2.7532852564102575</v>
          </cell>
          <cell r="I9">
            <v>3.3532852564102575</v>
          </cell>
          <cell r="K9">
            <v>3.5032852564102575</v>
          </cell>
          <cell r="M9">
            <v>3.7552852564102572</v>
          </cell>
          <cell r="O9">
            <v>5.7532852564102575</v>
          </cell>
        </row>
        <row r="10">
          <cell r="G10">
            <v>2.919951923076924</v>
          </cell>
          <cell r="I10">
            <v>3.5199519230769241</v>
          </cell>
          <cell r="K10">
            <v>3.669951923076924</v>
          </cell>
          <cell r="M10">
            <v>3.9219519230769242</v>
          </cell>
          <cell r="O10">
            <v>5.9199519230769244</v>
          </cell>
        </row>
        <row r="11">
          <cell r="G11">
            <v>3.0866185897435905</v>
          </cell>
          <cell r="I11">
            <v>3.6866185897435906</v>
          </cell>
          <cell r="K11">
            <v>3.8366185897435905</v>
          </cell>
          <cell r="M11">
            <v>4.0886185897435903</v>
          </cell>
          <cell r="O11">
            <v>6.0866185897435905</v>
          </cell>
        </row>
        <row r="12">
          <cell r="G12">
            <v>3.2532852564102579</v>
          </cell>
          <cell r="I12">
            <v>3.853285256410258</v>
          </cell>
          <cell r="K12">
            <v>4.0032852564102583</v>
          </cell>
          <cell r="M12">
            <v>4.2552852564102581</v>
          </cell>
          <cell r="O12">
            <v>6.2532852564102583</v>
          </cell>
        </row>
        <row r="13">
          <cell r="G13">
            <v>3.419951923076924</v>
          </cell>
          <cell r="I13">
            <v>4.0199519230769241</v>
          </cell>
          <cell r="K13">
            <v>4.1699519230769244</v>
          </cell>
          <cell r="M13">
            <v>4.4219519230769242</v>
          </cell>
          <cell r="O13">
            <v>6.4199519230769244</v>
          </cell>
        </row>
        <row r="14">
          <cell r="G14">
            <v>3.5866185897435914</v>
          </cell>
          <cell r="I14">
            <v>4.186618589743591</v>
          </cell>
          <cell r="K14">
            <v>4.3366185897435914</v>
          </cell>
          <cell r="M14">
            <v>4.5886185897435912</v>
          </cell>
          <cell r="O14">
            <v>6.5866185897435914</v>
          </cell>
        </row>
        <row r="15">
          <cell r="G15">
            <v>3.7532852564102579</v>
          </cell>
          <cell r="I15">
            <v>4.353285256410258</v>
          </cell>
          <cell r="K15">
            <v>4.5032852564102583</v>
          </cell>
          <cell r="M15">
            <v>4.7552852564102581</v>
          </cell>
          <cell r="O15">
            <v>6.7532852564102583</v>
          </cell>
        </row>
        <row r="16">
          <cell r="G16">
            <v>3.9199519230769244</v>
          </cell>
          <cell r="I16">
            <v>4.5199519230769241</v>
          </cell>
          <cell r="K16">
            <v>4.6699519230769244</v>
          </cell>
          <cell r="M16">
            <v>4.9219519230769242</v>
          </cell>
          <cell r="O16">
            <v>6.9199519230769244</v>
          </cell>
        </row>
        <row r="17">
          <cell r="G17">
            <v>4.0866185897435914</v>
          </cell>
          <cell r="I17">
            <v>4.686618589743591</v>
          </cell>
          <cell r="K17">
            <v>4.8366185897435914</v>
          </cell>
          <cell r="M17">
            <v>5.0886185897435912</v>
          </cell>
          <cell r="O17">
            <v>7.0866185897435914</v>
          </cell>
        </row>
        <row r="18">
          <cell r="G18">
            <v>4.2532852564102583</v>
          </cell>
          <cell r="I18">
            <v>4.853285256410258</v>
          </cell>
          <cell r="K18">
            <v>5.0032852564102583</v>
          </cell>
          <cell r="M18">
            <v>5.2552852564102581</v>
          </cell>
          <cell r="O18">
            <v>7.2532852564102583</v>
          </cell>
        </row>
        <row r="19">
          <cell r="G19">
            <v>4.4199519230769253</v>
          </cell>
          <cell r="I19">
            <v>5.0199519230769249</v>
          </cell>
          <cell r="K19">
            <v>5.1699519230769253</v>
          </cell>
          <cell r="M19">
            <v>5.4219519230769251</v>
          </cell>
          <cell r="O19">
            <v>7.4199519230769253</v>
          </cell>
        </row>
        <row r="27">
          <cell r="C27">
            <v>2.3039423076923078</v>
          </cell>
          <cell r="E27">
            <v>54.153068696493314</v>
          </cell>
        </row>
        <row r="28">
          <cell r="C28">
            <v>2.503942307692308</v>
          </cell>
          <cell r="E28">
            <v>58.853973620691221</v>
          </cell>
        </row>
        <row r="29">
          <cell r="C29">
            <v>2.7039423076923081</v>
          </cell>
          <cell r="E29">
            <v>63.554878544889128</v>
          </cell>
        </row>
        <row r="30">
          <cell r="C30">
            <v>2.9039423076923083</v>
          </cell>
          <cell r="E30">
            <v>68.255783469087049</v>
          </cell>
        </row>
        <row r="31">
          <cell r="C31">
            <v>3.1039423076923085</v>
          </cell>
          <cell r="E31">
            <v>72.956688393284963</v>
          </cell>
        </row>
        <row r="32">
          <cell r="C32">
            <v>3.3039423076923087</v>
          </cell>
          <cell r="E32">
            <v>77.657593317482863</v>
          </cell>
        </row>
        <row r="33">
          <cell r="C33">
            <v>3.5039423076923089</v>
          </cell>
          <cell r="E33">
            <v>82.358498241680792</v>
          </cell>
        </row>
        <row r="34">
          <cell r="C34">
            <v>3.703942307692309</v>
          </cell>
          <cell r="E34">
            <v>87.059403165878692</v>
          </cell>
        </row>
        <row r="35">
          <cell r="C35">
            <v>3.9039423076923092</v>
          </cell>
          <cell r="E35">
            <v>91.760308090076606</v>
          </cell>
        </row>
        <row r="36">
          <cell r="C36">
            <v>4.1039423076923089</v>
          </cell>
          <cell r="E36">
            <v>96.461213014274492</v>
          </cell>
        </row>
        <row r="37">
          <cell r="C37">
            <v>4.3039423076923091</v>
          </cell>
          <cell r="E37">
            <v>101.16211793847242</v>
          </cell>
        </row>
        <row r="38">
          <cell r="C38">
            <v>4.5039423076923093</v>
          </cell>
          <cell r="E38">
            <v>105.86302286267033</v>
          </cell>
        </row>
        <row r="39">
          <cell r="C39">
            <v>4.7039423076923095</v>
          </cell>
          <cell r="E39">
            <v>110.56392778686825</v>
          </cell>
        </row>
        <row r="40">
          <cell r="C40">
            <v>4.9039423076923097</v>
          </cell>
          <cell r="E40">
            <v>115.26483271106616</v>
          </cell>
        </row>
        <row r="41">
          <cell r="C41">
            <v>5.1039423076923098</v>
          </cell>
          <cell r="E41">
            <v>119.96573763526409</v>
          </cell>
        </row>
        <row r="42">
          <cell r="C42">
            <v>5.30394230769231</v>
          </cell>
          <cell r="E42">
            <v>124.66664255946198</v>
          </cell>
        </row>
      </sheetData>
      <sheetData sheetId="6">
        <row r="2">
          <cell r="L2" t="str">
            <v>250 (0.8)</v>
          </cell>
        </row>
        <row r="4">
          <cell r="M4">
            <v>3.751713598901099</v>
          </cell>
          <cell r="N4">
            <v>112.56266423345632</v>
          </cell>
        </row>
        <row r="5">
          <cell r="M5">
            <v>4.001713598901099</v>
          </cell>
          <cell r="N5">
            <v>120.06341430846382</v>
          </cell>
        </row>
        <row r="6">
          <cell r="M6">
            <v>4.2517135989010999</v>
          </cell>
          <cell r="N6">
            <v>127.56416438347136</v>
          </cell>
        </row>
        <row r="7">
          <cell r="M7">
            <v>4.5017135989010999</v>
          </cell>
          <cell r="N7">
            <v>135.06491445847885</v>
          </cell>
        </row>
        <row r="8">
          <cell r="M8">
            <v>4.7517135989010999</v>
          </cell>
          <cell r="N8">
            <v>142.56566453348637</v>
          </cell>
        </row>
        <row r="9">
          <cell r="M9">
            <v>5.0017135989010999</v>
          </cell>
          <cell r="N9">
            <v>150.06641460849386</v>
          </cell>
        </row>
        <row r="10">
          <cell r="M10">
            <v>5.2517135989010999</v>
          </cell>
          <cell r="N10">
            <v>157.56716468350137</v>
          </cell>
        </row>
        <row r="11">
          <cell r="M11">
            <v>5.5017135989010999</v>
          </cell>
          <cell r="N11">
            <v>165.06791475850886</v>
          </cell>
        </row>
        <row r="12">
          <cell r="M12">
            <v>5.7517135989011017</v>
          </cell>
          <cell r="N12">
            <v>172.56866483351641</v>
          </cell>
        </row>
        <row r="13">
          <cell r="M13">
            <v>6.0017135989010999</v>
          </cell>
          <cell r="N13">
            <v>180.06941490852387</v>
          </cell>
        </row>
        <row r="14">
          <cell r="M14">
            <v>6.2517135989011017</v>
          </cell>
          <cell r="N14">
            <v>187.57016498353141</v>
          </cell>
        </row>
        <row r="15">
          <cell r="M15">
            <v>6.5017135989011017</v>
          </cell>
          <cell r="N15">
            <v>195.0709150585389</v>
          </cell>
        </row>
        <row r="16">
          <cell r="M16">
            <v>6.7517135989011017</v>
          </cell>
          <cell r="N16">
            <v>202.57166513354639</v>
          </cell>
        </row>
        <row r="17">
          <cell r="M17">
            <v>7.0017135989011017</v>
          </cell>
          <cell r="N17">
            <v>210.07241520855391</v>
          </cell>
        </row>
        <row r="18">
          <cell r="M18">
            <v>7.2517135989011017</v>
          </cell>
          <cell r="N18">
            <v>217.57316528356139</v>
          </cell>
        </row>
        <row r="19">
          <cell r="M19">
            <v>7.5017135989011017</v>
          </cell>
          <cell r="N19">
            <v>225.07391535856891</v>
          </cell>
        </row>
        <row r="27">
          <cell r="F27" t="str">
            <v>No carbon tax</v>
          </cell>
          <cell r="G27">
            <v>2.8799278846153848</v>
          </cell>
          <cell r="H27">
            <v>3.1299278846153848</v>
          </cell>
          <cell r="I27">
            <v>3.3799278846153853</v>
          </cell>
          <cell r="J27">
            <v>3.6299278846153857</v>
          </cell>
          <cell r="K27">
            <v>3.8799278846153862</v>
          </cell>
          <cell r="L27">
            <v>4.1299278846153857</v>
          </cell>
          <cell r="M27">
            <v>4.3799278846153857</v>
          </cell>
          <cell r="N27">
            <v>4.6299278846153857</v>
          </cell>
          <cell r="O27">
            <v>4.8799278846153866</v>
          </cell>
          <cell r="P27">
            <v>5.1299278846153857</v>
          </cell>
          <cell r="Q27">
            <v>5.3799278846153866</v>
          </cell>
          <cell r="R27">
            <v>5.6299278846153866</v>
          </cell>
          <cell r="S27">
            <v>5.8799278846153866</v>
          </cell>
          <cell r="T27">
            <v>6.1299278846153866</v>
          </cell>
          <cell r="U27">
            <v>6.3799278846153875</v>
          </cell>
          <cell r="V27">
            <v>6.6299278846153875</v>
          </cell>
        </row>
        <row r="28">
          <cell r="F28" t="str">
            <v>$60/t CO2</v>
          </cell>
          <cell r="G28">
            <v>3.0891564560439559</v>
          </cell>
          <cell r="H28">
            <v>3.3391564560439559</v>
          </cell>
          <cell r="I28">
            <v>3.5891564560439568</v>
          </cell>
          <cell r="J28">
            <v>3.8391564560439568</v>
          </cell>
          <cell r="K28">
            <v>4.0891564560439573</v>
          </cell>
          <cell r="L28">
            <v>4.3391564560439573</v>
          </cell>
          <cell r="M28">
            <v>4.5891564560439573</v>
          </cell>
          <cell r="N28">
            <v>4.8391564560439573</v>
          </cell>
          <cell r="O28">
            <v>5.0891564560439582</v>
          </cell>
          <cell r="P28">
            <v>5.3391564560439573</v>
          </cell>
          <cell r="Q28">
            <v>5.5891564560439582</v>
          </cell>
          <cell r="R28">
            <v>5.8391564560439582</v>
          </cell>
          <cell r="S28">
            <v>6.0891564560439582</v>
          </cell>
          <cell r="T28">
            <v>6.3391564560439582</v>
          </cell>
          <cell r="U28">
            <v>6.5891564560439591</v>
          </cell>
          <cell r="V28">
            <v>6.8391564560439591</v>
          </cell>
        </row>
        <row r="29">
          <cell r="F29" t="str">
            <v>$100/t CO2</v>
          </cell>
          <cell r="G29">
            <v>3.2286421703296706</v>
          </cell>
          <cell r="H29">
            <v>3.4786421703296706</v>
          </cell>
          <cell r="I29">
            <v>3.728642170329671</v>
          </cell>
          <cell r="J29">
            <v>3.978642170329671</v>
          </cell>
          <cell r="K29">
            <v>4.2286421703296719</v>
          </cell>
          <cell r="L29">
            <v>4.4786421703296719</v>
          </cell>
          <cell r="M29">
            <v>4.7286421703296719</v>
          </cell>
          <cell r="N29">
            <v>4.9786421703296719</v>
          </cell>
          <cell r="O29">
            <v>5.2286421703296728</v>
          </cell>
          <cell r="P29">
            <v>5.4786421703296719</v>
          </cell>
          <cell r="Q29">
            <v>5.7286421703296728</v>
          </cell>
          <cell r="R29">
            <v>5.9786421703296728</v>
          </cell>
          <cell r="S29">
            <v>6.2286421703296728</v>
          </cell>
          <cell r="T29">
            <v>6.4786421703296728</v>
          </cell>
          <cell r="U29">
            <v>6.7286421703296737</v>
          </cell>
          <cell r="V29">
            <v>6.9786421703296737</v>
          </cell>
        </row>
        <row r="30">
          <cell r="F30" t="str">
            <v>$250/t CO2</v>
          </cell>
          <cell r="G30">
            <v>3.751713598901099</v>
          </cell>
          <cell r="H30">
            <v>4.001713598901099</v>
          </cell>
          <cell r="I30">
            <v>4.2517135989010999</v>
          </cell>
          <cell r="J30">
            <v>4.5017135989010999</v>
          </cell>
          <cell r="K30">
            <v>4.7517135989010999</v>
          </cell>
          <cell r="L30">
            <v>5.0017135989010999</v>
          </cell>
          <cell r="M30">
            <v>5.2517135989010999</v>
          </cell>
          <cell r="N30">
            <v>5.5017135989010999</v>
          </cell>
          <cell r="O30">
            <v>5.7517135989011017</v>
          </cell>
          <cell r="P30">
            <v>6.0017135989010999</v>
          </cell>
          <cell r="Q30">
            <v>6.2517135989011017</v>
          </cell>
          <cell r="R30">
            <v>6.5017135989011017</v>
          </cell>
          <cell r="S30">
            <v>6.7517135989011017</v>
          </cell>
          <cell r="T30">
            <v>7.0017135989011017</v>
          </cell>
          <cell r="U30">
            <v>7.2517135989011017</v>
          </cell>
          <cell r="V30">
            <v>7.5017135989011017</v>
          </cell>
        </row>
        <row r="31">
          <cell r="F31" t="str">
            <v>Base 1</v>
          </cell>
          <cell r="G31">
            <v>2.8799278846153848</v>
          </cell>
          <cell r="H31">
            <v>3.1299278846153848</v>
          </cell>
          <cell r="I31">
            <v>3.3799278846153853</v>
          </cell>
          <cell r="J31">
            <v>3.6299278846153857</v>
          </cell>
          <cell r="K31">
            <v>3.8799278846153862</v>
          </cell>
          <cell r="L31">
            <v>4.1299278846153857</v>
          </cell>
          <cell r="M31">
            <v>4.3799278846153857</v>
          </cell>
          <cell r="N31">
            <v>4.6299278846153857</v>
          </cell>
          <cell r="O31">
            <v>4.8799278846153866</v>
          </cell>
          <cell r="P31">
            <v>5.1299278846153857</v>
          </cell>
          <cell r="Q31">
            <v>5.3799278846153866</v>
          </cell>
          <cell r="R31">
            <v>5.6299278846153866</v>
          </cell>
          <cell r="S31">
            <v>5.8799278846153866</v>
          </cell>
          <cell r="T31">
            <v>6.1299278846153866</v>
          </cell>
          <cell r="U31">
            <v>6.3799278846153875</v>
          </cell>
          <cell r="V31">
            <v>6.6299278846153875</v>
          </cell>
        </row>
        <row r="32">
          <cell r="F32" t="str">
            <v>Delta1</v>
          </cell>
          <cell r="G32">
            <v>0.2092285714285711</v>
          </cell>
          <cell r="H32">
            <v>0.2092285714285711</v>
          </cell>
          <cell r="I32">
            <v>0.20922857142857154</v>
          </cell>
          <cell r="J32">
            <v>0.2092285714285711</v>
          </cell>
          <cell r="K32">
            <v>0.2092285714285711</v>
          </cell>
          <cell r="L32">
            <v>0.20922857142857154</v>
          </cell>
          <cell r="M32">
            <v>0.20922857142857154</v>
          </cell>
          <cell r="N32">
            <v>0.20922857142857154</v>
          </cell>
          <cell r="O32">
            <v>0.20922857142857154</v>
          </cell>
          <cell r="P32">
            <v>0.20922857142857154</v>
          </cell>
          <cell r="Q32">
            <v>0.20922857142857154</v>
          </cell>
          <cell r="R32">
            <v>0.20922857142857154</v>
          </cell>
          <cell r="S32">
            <v>0.20922857142857154</v>
          </cell>
          <cell r="T32">
            <v>0.20922857142857154</v>
          </cell>
          <cell r="U32">
            <v>0.20922857142857154</v>
          </cell>
          <cell r="V32">
            <v>0.20922857142857154</v>
          </cell>
        </row>
        <row r="33">
          <cell r="F33" t="str">
            <v>Delta2</v>
          </cell>
          <cell r="G33">
            <v>0.13948571428571466</v>
          </cell>
          <cell r="H33">
            <v>0.13948571428571466</v>
          </cell>
          <cell r="I33">
            <v>0.13948571428571421</v>
          </cell>
          <cell r="J33">
            <v>0.13948571428571421</v>
          </cell>
          <cell r="K33">
            <v>0.13948571428571466</v>
          </cell>
          <cell r="L33">
            <v>0.13948571428571466</v>
          </cell>
          <cell r="M33">
            <v>0.13948571428571466</v>
          </cell>
          <cell r="N33">
            <v>0.13948571428571466</v>
          </cell>
          <cell r="O33">
            <v>0.13948571428571466</v>
          </cell>
          <cell r="P33">
            <v>0.13948571428571466</v>
          </cell>
          <cell r="Q33">
            <v>0.13948571428571466</v>
          </cell>
          <cell r="R33">
            <v>0.13948571428571466</v>
          </cell>
          <cell r="S33">
            <v>0.13948571428571466</v>
          </cell>
          <cell r="T33">
            <v>0.13948571428571466</v>
          </cell>
          <cell r="U33">
            <v>0.13948571428571466</v>
          </cell>
          <cell r="V33">
            <v>0.13948571428571466</v>
          </cell>
        </row>
        <row r="34">
          <cell r="F34" t="str">
            <v>Delta3</v>
          </cell>
          <cell r="G34">
            <v>0.52307142857142841</v>
          </cell>
          <cell r="H34">
            <v>0.52307142857142841</v>
          </cell>
          <cell r="I34">
            <v>0.52307142857142885</v>
          </cell>
          <cell r="J34">
            <v>0.52307142857142885</v>
          </cell>
          <cell r="K34">
            <v>0.52307142857142797</v>
          </cell>
          <cell r="L34">
            <v>0.52307142857142797</v>
          </cell>
          <cell r="M34">
            <v>0.52307142857142797</v>
          </cell>
          <cell r="N34">
            <v>0.52307142857142797</v>
          </cell>
          <cell r="O34">
            <v>0.52307142857142885</v>
          </cell>
          <cell r="P34">
            <v>0.52307142857142797</v>
          </cell>
          <cell r="Q34">
            <v>0.52307142857142885</v>
          </cell>
          <cell r="R34">
            <v>0.52307142857142885</v>
          </cell>
          <cell r="S34">
            <v>0.52307142857142885</v>
          </cell>
          <cell r="T34">
            <v>0.52307142857142885</v>
          </cell>
          <cell r="U34">
            <v>0.52307142857142797</v>
          </cell>
          <cell r="V34">
            <v>0.52307142857142797</v>
          </cell>
        </row>
        <row r="38">
          <cell r="C38">
            <v>2.3039423076923078</v>
          </cell>
          <cell r="E38">
            <v>54.153068696493314</v>
          </cell>
        </row>
        <row r="39">
          <cell r="C39">
            <v>2.503942307692308</v>
          </cell>
          <cell r="E39">
            <v>58.853973620691221</v>
          </cell>
        </row>
        <row r="40">
          <cell r="C40">
            <v>2.7039423076923081</v>
          </cell>
          <cell r="E40">
            <v>63.554878544889128</v>
          </cell>
        </row>
        <row r="41">
          <cell r="C41">
            <v>2.9039423076923083</v>
          </cell>
          <cell r="E41">
            <v>68.255783469087049</v>
          </cell>
        </row>
        <row r="42">
          <cell r="C42">
            <v>3.1039423076923085</v>
          </cell>
          <cell r="E42">
            <v>72.956688393284963</v>
          </cell>
        </row>
        <row r="43">
          <cell r="C43">
            <v>3.3039423076923087</v>
          </cell>
          <cell r="E43">
            <v>77.657593317482863</v>
          </cell>
        </row>
        <row r="44">
          <cell r="C44">
            <v>3.5039423076923089</v>
          </cell>
          <cell r="E44">
            <v>82.358498241680792</v>
          </cell>
        </row>
        <row r="45">
          <cell r="C45">
            <v>3.703942307692309</v>
          </cell>
          <cell r="E45">
            <v>87.059403165878692</v>
          </cell>
        </row>
        <row r="46">
          <cell r="C46">
            <v>3.9039423076923092</v>
          </cell>
          <cell r="E46">
            <v>91.760308090076606</v>
          </cell>
        </row>
        <row r="47">
          <cell r="C47">
            <v>4.1039423076923089</v>
          </cell>
          <cell r="E47">
            <v>96.461213014274492</v>
          </cell>
        </row>
        <row r="48">
          <cell r="C48">
            <v>4.3039423076923091</v>
          </cell>
          <cell r="E48">
            <v>101.16211793847242</v>
          </cell>
        </row>
        <row r="49">
          <cell r="C49">
            <v>4.5039423076923093</v>
          </cell>
          <cell r="E49">
            <v>105.86302286267033</v>
          </cell>
        </row>
        <row r="50">
          <cell r="C50">
            <v>4.7039423076923095</v>
          </cell>
          <cell r="E50">
            <v>110.56392778686825</v>
          </cell>
        </row>
        <row r="51">
          <cell r="C51">
            <v>4.9039423076923097</v>
          </cell>
          <cell r="E51">
            <v>115.26483271106616</v>
          </cell>
        </row>
        <row r="52">
          <cell r="C52">
            <v>5.1039423076923098</v>
          </cell>
          <cell r="E52">
            <v>119.96573763526409</v>
          </cell>
        </row>
        <row r="53">
          <cell r="C53">
            <v>5.30394230769231</v>
          </cell>
          <cell r="E53">
            <v>124.66664255946198</v>
          </cell>
        </row>
      </sheetData>
      <sheetData sheetId="7">
        <row r="2">
          <cell r="F2" t="str">
            <v>No tax (1)</v>
          </cell>
          <cell r="H2" t="str">
            <v>60 (1)</v>
          </cell>
          <cell r="J2" t="str">
            <v>100 (1)</v>
          </cell>
          <cell r="L2" t="str">
            <v>250 (1)</v>
          </cell>
        </row>
        <row r="4">
          <cell r="G4">
            <v>2.3039423076923078</v>
          </cell>
          <cell r="I4">
            <v>2.465925164835165</v>
          </cell>
          <cell r="K4">
            <v>2.5739137362637363</v>
          </cell>
          <cell r="M4">
            <v>2.9788708791208793</v>
          </cell>
          <cell r="N4">
            <v>89.37506388001438</v>
          </cell>
        </row>
        <row r="5">
          <cell r="G5">
            <v>2.503942307692308</v>
          </cell>
          <cell r="I5">
            <v>2.6659251648351647</v>
          </cell>
          <cell r="K5">
            <v>2.7739137362637365</v>
          </cell>
          <cell r="M5">
            <v>3.1788708791208795</v>
          </cell>
          <cell r="N5">
            <v>95.375663940020402</v>
          </cell>
        </row>
        <row r="6">
          <cell r="G6">
            <v>2.7039423076923081</v>
          </cell>
          <cell r="I6">
            <v>2.8659251648351654</v>
          </cell>
          <cell r="K6">
            <v>2.9739137362637367</v>
          </cell>
          <cell r="M6">
            <v>3.3788708791208801</v>
          </cell>
          <cell r="N6">
            <v>101.37626400002641</v>
          </cell>
        </row>
        <row r="7">
          <cell r="G7">
            <v>2.9039423076923083</v>
          </cell>
          <cell r="I7">
            <v>3.065925164835166</v>
          </cell>
          <cell r="K7">
            <v>3.1739137362637369</v>
          </cell>
          <cell r="M7">
            <v>3.5788708791208799</v>
          </cell>
          <cell r="N7">
            <v>107.37686406003242</v>
          </cell>
        </row>
        <row r="8">
          <cell r="G8">
            <v>3.1039423076923089</v>
          </cell>
          <cell r="I8">
            <v>3.2659251648351657</v>
          </cell>
          <cell r="K8">
            <v>3.3739137362637375</v>
          </cell>
          <cell r="M8">
            <v>3.77887087912088</v>
          </cell>
          <cell r="N8">
            <v>113.37746412003841</v>
          </cell>
        </row>
        <row r="9">
          <cell r="G9">
            <v>3.3039423076923087</v>
          </cell>
          <cell r="I9">
            <v>3.4659251648351659</v>
          </cell>
          <cell r="K9">
            <v>3.5739137362637372</v>
          </cell>
          <cell r="M9">
            <v>3.9788708791208798</v>
          </cell>
          <cell r="N9">
            <v>119.3780641800444</v>
          </cell>
        </row>
        <row r="10">
          <cell r="G10">
            <v>3.5039423076923089</v>
          </cell>
          <cell r="I10">
            <v>3.6659251648351656</v>
          </cell>
          <cell r="K10">
            <v>3.7739137362637374</v>
          </cell>
          <cell r="M10">
            <v>4.17887087912088</v>
          </cell>
          <cell r="N10">
            <v>125.37866424005041</v>
          </cell>
        </row>
        <row r="11">
          <cell r="G11">
            <v>3.7039423076923086</v>
          </cell>
          <cell r="I11">
            <v>3.8659251648351658</v>
          </cell>
          <cell r="K11">
            <v>3.9739137362637376</v>
          </cell>
          <cell r="M11">
            <v>4.3788708791208801</v>
          </cell>
          <cell r="N11">
            <v>131.37926430005641</v>
          </cell>
        </row>
        <row r="12">
          <cell r="G12">
            <v>3.9039423076923097</v>
          </cell>
          <cell r="I12">
            <v>4.0659251648351669</v>
          </cell>
          <cell r="K12">
            <v>4.1739137362637377</v>
          </cell>
          <cell r="M12">
            <v>4.5788708791208812</v>
          </cell>
          <cell r="N12">
            <v>137.37986436006244</v>
          </cell>
        </row>
        <row r="13">
          <cell r="G13">
            <v>4.1039423076923089</v>
          </cell>
          <cell r="I13">
            <v>4.2659251648351662</v>
          </cell>
          <cell r="K13">
            <v>4.373913736263737</v>
          </cell>
          <cell r="M13">
            <v>4.7788708791208796</v>
          </cell>
          <cell r="N13">
            <v>143.38046442006839</v>
          </cell>
        </row>
        <row r="14">
          <cell r="G14">
            <v>4.3039423076923091</v>
          </cell>
          <cell r="I14">
            <v>4.4659251648351663</v>
          </cell>
          <cell r="K14">
            <v>4.5739137362637381</v>
          </cell>
          <cell r="M14">
            <v>4.9788708791208816</v>
          </cell>
          <cell r="N14">
            <v>149.38106448007449</v>
          </cell>
        </row>
        <row r="15">
          <cell r="G15">
            <v>4.5039423076923093</v>
          </cell>
          <cell r="I15">
            <v>4.6659251648351665</v>
          </cell>
          <cell r="K15">
            <v>4.7739137362637383</v>
          </cell>
          <cell r="M15">
            <v>5.1788708791208808</v>
          </cell>
          <cell r="N15">
            <v>155.38166454008044</v>
          </cell>
        </row>
        <row r="16">
          <cell r="G16">
            <v>4.7039423076923095</v>
          </cell>
          <cell r="I16">
            <v>4.8659251648351667</v>
          </cell>
          <cell r="K16">
            <v>4.9739137362637384</v>
          </cell>
          <cell r="M16">
            <v>5.378870879120881</v>
          </cell>
          <cell r="N16">
            <v>161.38226460008644</v>
          </cell>
        </row>
        <row r="17">
          <cell r="G17">
            <v>4.9039423076923097</v>
          </cell>
          <cell r="I17">
            <v>5.0659251648351669</v>
          </cell>
          <cell r="K17">
            <v>5.1739137362637377</v>
          </cell>
          <cell r="M17">
            <v>5.5788708791208812</v>
          </cell>
          <cell r="N17">
            <v>167.38286466009245</v>
          </cell>
        </row>
        <row r="18">
          <cell r="G18">
            <v>5.1039423076923098</v>
          </cell>
          <cell r="I18">
            <v>5.265925164835167</v>
          </cell>
          <cell r="K18">
            <v>5.3739137362637388</v>
          </cell>
          <cell r="M18">
            <v>5.7788708791208814</v>
          </cell>
          <cell r="N18">
            <v>173.38346472009846</v>
          </cell>
        </row>
        <row r="19">
          <cell r="G19">
            <v>5.30394230769231</v>
          </cell>
          <cell r="I19">
            <v>5.4659251648351672</v>
          </cell>
          <cell r="K19">
            <v>5.573913736263739</v>
          </cell>
          <cell r="M19">
            <v>5.9788708791208816</v>
          </cell>
          <cell r="N19">
            <v>179.38406478010447</v>
          </cell>
        </row>
        <row r="27">
          <cell r="F27" t="str">
            <v>No carbon tax</v>
          </cell>
          <cell r="G27">
            <v>2.3039423076923078</v>
          </cell>
          <cell r="H27">
            <v>2.503942307692308</v>
          </cell>
          <cell r="I27">
            <v>2.7039423076923081</v>
          </cell>
          <cell r="J27">
            <v>2.9039423076923083</v>
          </cell>
          <cell r="K27">
            <v>3.1039423076923089</v>
          </cell>
          <cell r="L27">
            <v>3.3039423076923087</v>
          </cell>
          <cell r="M27">
            <v>3.5039423076923089</v>
          </cell>
          <cell r="N27">
            <v>3.7039423076923086</v>
          </cell>
          <cell r="O27">
            <v>3.9039423076923097</v>
          </cell>
          <cell r="P27">
            <v>4.1039423076923089</v>
          </cell>
          <cell r="Q27">
            <v>4.3039423076923091</v>
          </cell>
          <cell r="R27">
            <v>4.5039423076923093</v>
          </cell>
          <cell r="S27">
            <v>4.7039423076923095</v>
          </cell>
          <cell r="T27">
            <v>4.9039423076923097</v>
          </cell>
          <cell r="U27">
            <v>5.1039423076923098</v>
          </cell>
          <cell r="V27">
            <v>5.30394230769231</v>
          </cell>
        </row>
        <row r="28">
          <cell r="F28" t="str">
            <v>$60/t CO2</v>
          </cell>
          <cell r="G28">
            <v>2.465925164835165</v>
          </cell>
          <cell r="H28">
            <v>2.6659251648351647</v>
          </cell>
          <cell r="I28">
            <v>2.8659251648351654</v>
          </cell>
          <cell r="J28">
            <v>3.065925164835166</v>
          </cell>
          <cell r="K28">
            <v>3.2659251648351657</v>
          </cell>
          <cell r="L28">
            <v>3.4659251648351659</v>
          </cell>
          <cell r="M28">
            <v>3.6659251648351656</v>
          </cell>
          <cell r="N28">
            <v>3.8659251648351658</v>
          </cell>
          <cell r="O28">
            <v>4.0659251648351669</v>
          </cell>
          <cell r="P28">
            <v>4.2659251648351662</v>
          </cell>
          <cell r="Q28">
            <v>4.4659251648351663</v>
          </cell>
          <cell r="R28">
            <v>4.6659251648351665</v>
          </cell>
          <cell r="S28">
            <v>4.8659251648351667</v>
          </cell>
          <cell r="T28">
            <v>5.0659251648351669</v>
          </cell>
          <cell r="U28">
            <v>5.265925164835167</v>
          </cell>
          <cell r="V28">
            <v>5.4659251648351672</v>
          </cell>
        </row>
        <row r="29">
          <cell r="F29" t="str">
            <v>$100/t CO2</v>
          </cell>
          <cell r="G29">
            <v>2.5739137362637363</v>
          </cell>
          <cell r="H29">
            <v>2.7739137362637365</v>
          </cell>
          <cell r="I29">
            <v>2.9739137362637367</v>
          </cell>
          <cell r="J29">
            <v>3.1739137362637369</v>
          </cell>
          <cell r="K29">
            <v>3.3739137362637375</v>
          </cell>
          <cell r="L29">
            <v>3.5739137362637372</v>
          </cell>
          <cell r="M29">
            <v>3.7739137362637374</v>
          </cell>
          <cell r="N29">
            <v>3.9739137362637376</v>
          </cell>
          <cell r="O29">
            <v>4.1739137362637377</v>
          </cell>
          <cell r="P29">
            <v>4.373913736263737</v>
          </cell>
          <cell r="Q29">
            <v>4.5739137362637381</v>
          </cell>
          <cell r="R29">
            <v>4.7739137362637383</v>
          </cell>
          <cell r="S29">
            <v>4.9739137362637384</v>
          </cell>
          <cell r="T29">
            <v>5.1739137362637377</v>
          </cell>
          <cell r="U29">
            <v>5.3739137362637388</v>
          </cell>
          <cell r="V29">
            <v>5.573913736263739</v>
          </cell>
        </row>
        <row r="30">
          <cell r="F30" t="str">
            <v>$250/t CO2</v>
          </cell>
          <cell r="G30">
            <v>2.9788708791208793</v>
          </cell>
          <cell r="H30">
            <v>3.1788708791208795</v>
          </cell>
          <cell r="I30">
            <v>3.3788708791208801</v>
          </cell>
          <cell r="J30">
            <v>3.5788708791208799</v>
          </cell>
          <cell r="K30">
            <v>3.77887087912088</v>
          </cell>
          <cell r="L30">
            <v>3.9788708791208798</v>
          </cell>
          <cell r="M30">
            <v>4.17887087912088</v>
          </cell>
          <cell r="N30">
            <v>4.3788708791208801</v>
          </cell>
          <cell r="O30">
            <v>4.5788708791208812</v>
          </cell>
          <cell r="P30">
            <v>4.7788708791208796</v>
          </cell>
          <cell r="Q30">
            <v>4.9788708791208816</v>
          </cell>
          <cell r="R30">
            <v>5.1788708791208808</v>
          </cell>
          <cell r="S30">
            <v>5.378870879120881</v>
          </cell>
          <cell r="T30">
            <v>5.5788708791208812</v>
          </cell>
          <cell r="U30">
            <v>5.7788708791208814</v>
          </cell>
          <cell r="V30">
            <v>5.9788708791208816</v>
          </cell>
        </row>
        <row r="31">
          <cell r="F31" t="str">
            <v>Base 1</v>
          </cell>
          <cell r="G31">
            <v>2.3039423076923078</v>
          </cell>
          <cell r="H31">
            <v>2.503942307692308</v>
          </cell>
          <cell r="I31">
            <v>2.7039423076923081</v>
          </cell>
          <cell r="J31">
            <v>2.9039423076923083</v>
          </cell>
          <cell r="K31">
            <v>3.1039423076923089</v>
          </cell>
          <cell r="L31">
            <v>3.3039423076923087</v>
          </cell>
          <cell r="M31">
            <v>3.5039423076923089</v>
          </cell>
          <cell r="N31">
            <v>3.7039423076923086</v>
          </cell>
          <cell r="O31">
            <v>3.9039423076923097</v>
          </cell>
          <cell r="P31">
            <v>4.1039423076923089</v>
          </cell>
          <cell r="Q31">
            <v>4.3039423076923091</v>
          </cell>
          <cell r="R31">
            <v>4.5039423076923093</v>
          </cell>
          <cell r="S31">
            <v>4.7039423076923095</v>
          </cell>
          <cell r="T31">
            <v>4.9039423076923097</v>
          </cell>
          <cell r="U31">
            <v>5.1039423076923098</v>
          </cell>
          <cell r="V31">
            <v>5.30394230769231</v>
          </cell>
        </row>
        <row r="32">
          <cell r="F32" t="str">
            <v>Delta1</v>
          </cell>
          <cell r="G32">
            <v>0.16198285714285721</v>
          </cell>
          <cell r="H32">
            <v>0.16198285714285676</v>
          </cell>
          <cell r="I32">
            <v>0.16198285714285721</v>
          </cell>
          <cell r="J32">
            <v>0.16198285714285765</v>
          </cell>
          <cell r="K32">
            <v>0.16198285714285676</v>
          </cell>
          <cell r="L32">
            <v>0.16198285714285721</v>
          </cell>
          <cell r="M32">
            <v>0.16198285714285676</v>
          </cell>
          <cell r="N32">
            <v>0.16198285714285721</v>
          </cell>
          <cell r="O32">
            <v>0.16198285714285721</v>
          </cell>
          <cell r="P32">
            <v>0.16198285714285721</v>
          </cell>
          <cell r="Q32">
            <v>0.16198285714285721</v>
          </cell>
          <cell r="R32">
            <v>0.16198285714285721</v>
          </cell>
          <cell r="S32">
            <v>0.16198285714285721</v>
          </cell>
          <cell r="T32">
            <v>0.16198285714285721</v>
          </cell>
          <cell r="U32">
            <v>0.16198285714285721</v>
          </cell>
          <cell r="V32">
            <v>0.16198285714285721</v>
          </cell>
        </row>
        <row r="33">
          <cell r="F33" t="str">
            <v>Delta2</v>
          </cell>
          <cell r="G33">
            <v>0.10798857142857132</v>
          </cell>
          <cell r="H33">
            <v>0.10798857142857177</v>
          </cell>
          <cell r="I33">
            <v>0.10798857142857132</v>
          </cell>
          <cell r="J33">
            <v>0.10798857142857088</v>
          </cell>
          <cell r="K33">
            <v>0.10798857142857177</v>
          </cell>
          <cell r="L33">
            <v>0.10798857142857132</v>
          </cell>
          <cell r="M33">
            <v>0.10798857142857177</v>
          </cell>
          <cell r="N33">
            <v>0.10798857142857177</v>
          </cell>
          <cell r="O33">
            <v>0.10798857142857088</v>
          </cell>
          <cell r="P33">
            <v>0.10798857142857088</v>
          </cell>
          <cell r="Q33">
            <v>0.10798857142857177</v>
          </cell>
          <cell r="R33">
            <v>0.10798857142857177</v>
          </cell>
          <cell r="S33">
            <v>0.10798857142857177</v>
          </cell>
          <cell r="T33">
            <v>0.10798857142857088</v>
          </cell>
          <cell r="U33">
            <v>0.10798857142857177</v>
          </cell>
          <cell r="V33">
            <v>0.10798857142857177</v>
          </cell>
        </row>
        <row r="34">
          <cell r="F34" t="str">
            <v>Delta3</v>
          </cell>
          <cell r="G34">
            <v>0.40495714285714302</v>
          </cell>
          <cell r="H34">
            <v>0.40495714285714302</v>
          </cell>
          <cell r="I34">
            <v>0.40495714285714346</v>
          </cell>
          <cell r="J34">
            <v>0.40495714285714302</v>
          </cell>
          <cell r="K34">
            <v>0.40495714285714257</v>
          </cell>
          <cell r="L34">
            <v>0.40495714285714257</v>
          </cell>
          <cell r="M34">
            <v>0.40495714285714257</v>
          </cell>
          <cell r="N34">
            <v>0.40495714285714257</v>
          </cell>
          <cell r="O34">
            <v>0.40495714285714346</v>
          </cell>
          <cell r="P34">
            <v>0.40495714285714257</v>
          </cell>
          <cell r="Q34">
            <v>0.40495714285714346</v>
          </cell>
          <cell r="R34">
            <v>0.40495714285714257</v>
          </cell>
          <cell r="S34">
            <v>0.40495714285714257</v>
          </cell>
          <cell r="T34">
            <v>0.40495714285714346</v>
          </cell>
          <cell r="U34">
            <v>0.40495714285714257</v>
          </cell>
          <cell r="V34">
            <v>0.40495714285714257</v>
          </cell>
        </row>
        <row r="38">
          <cell r="C38">
            <v>2.3039423076923078</v>
          </cell>
          <cell r="E38">
            <v>54.153068696493314</v>
          </cell>
        </row>
        <row r="39">
          <cell r="C39">
            <v>2.503942307692308</v>
          </cell>
          <cell r="E39">
            <v>58.853973620691221</v>
          </cell>
        </row>
        <row r="40">
          <cell r="C40">
            <v>2.7039423076923081</v>
          </cell>
          <cell r="E40">
            <v>63.554878544889128</v>
          </cell>
        </row>
        <row r="41">
          <cell r="C41">
            <v>2.9039423076923083</v>
          </cell>
          <cell r="E41">
            <v>68.255783469087049</v>
          </cell>
        </row>
        <row r="42">
          <cell r="C42">
            <v>3.1039423076923085</v>
          </cell>
          <cell r="E42">
            <v>72.956688393284963</v>
          </cell>
        </row>
        <row r="43">
          <cell r="C43">
            <v>3.3039423076923087</v>
          </cell>
          <cell r="E43">
            <v>77.657593317482863</v>
          </cell>
        </row>
        <row r="44">
          <cell r="C44">
            <v>3.5039423076923089</v>
          </cell>
          <cell r="E44">
            <v>82.358498241680792</v>
          </cell>
        </row>
        <row r="45">
          <cell r="C45">
            <v>3.703942307692309</v>
          </cell>
          <cell r="E45">
            <v>87.059403165878692</v>
          </cell>
        </row>
        <row r="46">
          <cell r="C46">
            <v>3.9039423076923092</v>
          </cell>
          <cell r="E46">
            <v>91.760308090076606</v>
          </cell>
        </row>
        <row r="47">
          <cell r="C47">
            <v>4.1039423076923089</v>
          </cell>
          <cell r="E47">
            <v>96.461213014274492</v>
          </cell>
        </row>
        <row r="48">
          <cell r="C48">
            <v>4.3039423076923091</v>
          </cell>
          <cell r="E48">
            <v>101.16211793847242</v>
          </cell>
        </row>
        <row r="49">
          <cell r="C49">
            <v>4.5039423076923093</v>
          </cell>
          <cell r="E49">
            <v>105.86302286267033</v>
          </cell>
        </row>
        <row r="50">
          <cell r="C50">
            <v>4.7039423076923095</v>
          </cell>
          <cell r="E50">
            <v>110.56392778686825</v>
          </cell>
        </row>
        <row r="51">
          <cell r="C51">
            <v>4.9039423076923097</v>
          </cell>
          <cell r="E51">
            <v>115.26483271106616</v>
          </cell>
        </row>
        <row r="52">
          <cell r="C52">
            <v>5.1039423076923098</v>
          </cell>
          <cell r="E52">
            <v>119.96573763526409</v>
          </cell>
        </row>
        <row r="53">
          <cell r="C53">
            <v>5.30394230769231</v>
          </cell>
          <cell r="E53">
            <v>124.66664255946198</v>
          </cell>
        </row>
      </sheetData>
      <sheetData sheetId="8">
        <row r="2">
          <cell r="L2" t="str">
            <v>250 (1.2)</v>
          </cell>
        </row>
        <row r="4">
          <cell r="M4">
            <v>2.4636423992673993</v>
          </cell>
          <cell r="N4">
            <v>73.916663644386432</v>
          </cell>
        </row>
        <row r="5">
          <cell r="M5">
            <v>2.6303090659340662</v>
          </cell>
          <cell r="N5">
            <v>78.917163694391434</v>
          </cell>
        </row>
        <row r="6">
          <cell r="M6">
            <v>2.7969757326007332</v>
          </cell>
          <cell r="N6">
            <v>83.917663744396435</v>
          </cell>
        </row>
        <row r="7">
          <cell r="M7">
            <v>2.9636423992674001</v>
          </cell>
          <cell r="N7">
            <v>88.918163794401437</v>
          </cell>
        </row>
        <row r="8">
          <cell r="M8">
            <v>3.1303090659340667</v>
          </cell>
          <cell r="N8">
            <v>93.918663844406439</v>
          </cell>
        </row>
        <row r="9">
          <cell r="M9">
            <v>3.2969757326007332</v>
          </cell>
          <cell r="N9">
            <v>98.91916389441144</v>
          </cell>
        </row>
        <row r="10">
          <cell r="M10">
            <v>3.4636423992674001</v>
          </cell>
          <cell r="N10">
            <v>103.91966394441644</v>
          </cell>
        </row>
        <row r="11">
          <cell r="M11">
            <v>3.6303090659340667</v>
          </cell>
          <cell r="N11">
            <v>108.92016399442144</v>
          </cell>
        </row>
        <row r="12">
          <cell r="M12">
            <v>3.7969757326007345</v>
          </cell>
          <cell r="N12">
            <v>113.92066404442647</v>
          </cell>
        </row>
        <row r="13">
          <cell r="M13">
            <v>3.9636423992674001</v>
          </cell>
          <cell r="N13">
            <v>118.92116409443145</v>
          </cell>
        </row>
        <row r="14">
          <cell r="M14">
            <v>4.1303090659340675</v>
          </cell>
          <cell r="N14">
            <v>123.92166414443649</v>
          </cell>
        </row>
        <row r="15">
          <cell r="M15">
            <v>4.2969757326007345</v>
          </cell>
          <cell r="N15">
            <v>128.92216419444151</v>
          </cell>
        </row>
        <row r="16">
          <cell r="M16">
            <v>4.4636423992674015</v>
          </cell>
          <cell r="N16">
            <v>133.92266424444651</v>
          </cell>
        </row>
        <row r="17">
          <cell r="M17">
            <v>4.6303090659340675</v>
          </cell>
          <cell r="N17">
            <v>138.92316429445148</v>
          </cell>
        </row>
        <row r="18">
          <cell r="M18">
            <v>4.7969757326007345</v>
          </cell>
          <cell r="N18">
            <v>143.92366434445648</v>
          </cell>
        </row>
        <row r="19">
          <cell r="M19">
            <v>4.9636423992674015</v>
          </cell>
          <cell r="N19">
            <v>148.92416439446151</v>
          </cell>
        </row>
        <row r="27">
          <cell r="F27" t="str">
            <v>No carbon tax</v>
          </cell>
          <cell r="G27">
            <v>1.9199519230769231</v>
          </cell>
          <cell r="H27">
            <v>2.08661858974359</v>
          </cell>
          <cell r="I27">
            <v>2.2532852564102566</v>
          </cell>
          <cell r="J27">
            <v>2.4199519230769235</v>
          </cell>
          <cell r="K27">
            <v>2.5866185897435905</v>
          </cell>
          <cell r="L27">
            <v>2.7532852564102575</v>
          </cell>
          <cell r="M27">
            <v>2.919951923076924</v>
          </cell>
          <cell r="N27">
            <v>3.0866185897435905</v>
          </cell>
          <cell r="O27">
            <v>3.2532852564102579</v>
          </cell>
          <cell r="P27">
            <v>3.419951923076924</v>
          </cell>
          <cell r="Q27">
            <v>3.5866185897435914</v>
          </cell>
          <cell r="R27">
            <v>3.7532852564102579</v>
          </cell>
          <cell r="S27">
            <v>3.9199519230769244</v>
          </cell>
          <cell r="T27">
            <v>4.0866185897435914</v>
          </cell>
          <cell r="U27">
            <v>4.2532852564102583</v>
          </cell>
          <cell r="V27">
            <v>4.4199519230769253</v>
          </cell>
        </row>
        <row r="28">
          <cell r="F28" t="str">
            <v>$60/t CO2</v>
          </cell>
          <cell r="G28">
            <v>2.0504376373626374</v>
          </cell>
          <cell r="H28">
            <v>2.2171043040293039</v>
          </cell>
          <cell r="I28">
            <v>2.3837709706959709</v>
          </cell>
          <cell r="J28">
            <v>2.5504376373626378</v>
          </cell>
          <cell r="K28">
            <v>2.7171043040293053</v>
          </cell>
          <cell r="L28">
            <v>2.8837709706959718</v>
          </cell>
          <cell r="M28">
            <v>3.0504376373626383</v>
          </cell>
          <cell r="N28">
            <v>3.2171043040293053</v>
          </cell>
          <cell r="O28">
            <v>3.3837709706959722</v>
          </cell>
          <cell r="P28">
            <v>3.5504376373626383</v>
          </cell>
          <cell r="Q28">
            <v>3.7171043040293057</v>
          </cell>
          <cell r="R28">
            <v>3.8837709706959722</v>
          </cell>
          <cell r="S28">
            <v>4.0504376373626387</v>
          </cell>
          <cell r="T28">
            <v>4.2171043040293057</v>
          </cell>
          <cell r="U28">
            <v>4.3837709706959727</v>
          </cell>
          <cell r="V28">
            <v>4.5504376373626396</v>
          </cell>
        </row>
        <row r="29">
          <cell r="F29" t="str">
            <v>$100/t CO2</v>
          </cell>
          <cell r="G29">
            <v>2.1374281135531139</v>
          </cell>
          <cell r="H29">
            <v>2.3040947802197804</v>
          </cell>
          <cell r="I29">
            <v>2.4707614468864469</v>
          </cell>
          <cell r="J29">
            <v>2.6374281135531144</v>
          </cell>
          <cell r="K29">
            <v>2.8040947802197809</v>
          </cell>
          <cell r="L29">
            <v>2.9707614468864474</v>
          </cell>
          <cell r="M29">
            <v>3.1374281135531144</v>
          </cell>
          <cell r="N29">
            <v>3.3040947802197809</v>
          </cell>
          <cell r="O29">
            <v>3.4707614468864483</v>
          </cell>
          <cell r="P29">
            <v>3.6374281135531144</v>
          </cell>
          <cell r="Q29">
            <v>3.8040947802197813</v>
          </cell>
          <cell r="R29">
            <v>3.9707614468864483</v>
          </cell>
          <cell r="S29">
            <v>4.1374281135531152</v>
          </cell>
          <cell r="T29">
            <v>4.3040947802197813</v>
          </cell>
          <cell r="U29">
            <v>4.4707614468864483</v>
          </cell>
          <cell r="V29">
            <v>4.6374281135531152</v>
          </cell>
        </row>
        <row r="30">
          <cell r="F30" t="str">
            <v>$250/t CO2</v>
          </cell>
          <cell r="G30">
            <v>2.4636423992673993</v>
          </cell>
          <cell r="H30">
            <v>2.6303090659340662</v>
          </cell>
          <cell r="I30">
            <v>2.7969757326007332</v>
          </cell>
          <cell r="J30">
            <v>2.9636423992674001</v>
          </cell>
          <cell r="K30">
            <v>3.1303090659340667</v>
          </cell>
          <cell r="L30">
            <v>3.2969757326007332</v>
          </cell>
          <cell r="M30">
            <v>3.4636423992674001</v>
          </cell>
          <cell r="N30">
            <v>3.6303090659340667</v>
          </cell>
          <cell r="O30">
            <v>3.7969757326007345</v>
          </cell>
          <cell r="P30">
            <v>3.9636423992674001</v>
          </cell>
          <cell r="Q30">
            <v>4.1303090659340675</v>
          </cell>
          <cell r="R30">
            <v>4.2969757326007345</v>
          </cell>
          <cell r="S30">
            <v>4.4636423992674015</v>
          </cell>
          <cell r="T30">
            <v>4.6303090659340675</v>
          </cell>
          <cell r="U30">
            <v>4.7969757326007345</v>
          </cell>
          <cell r="V30">
            <v>4.9636423992674015</v>
          </cell>
        </row>
        <row r="31">
          <cell r="F31" t="str">
            <v>Base 1</v>
          </cell>
          <cell r="G31">
            <v>1.9199519230769231</v>
          </cell>
          <cell r="H31">
            <v>2.08661858974359</v>
          </cell>
          <cell r="I31">
            <v>2.2532852564102566</v>
          </cell>
          <cell r="J31">
            <v>2.4199519230769235</v>
          </cell>
          <cell r="K31">
            <v>2.5866185897435905</v>
          </cell>
          <cell r="L31">
            <v>2.7532852564102575</v>
          </cell>
          <cell r="M31">
            <v>2.919951923076924</v>
          </cell>
          <cell r="N31">
            <v>3.0866185897435905</v>
          </cell>
          <cell r="O31">
            <v>3.2532852564102579</v>
          </cell>
          <cell r="P31">
            <v>3.419951923076924</v>
          </cell>
          <cell r="Q31">
            <v>3.5866185897435914</v>
          </cell>
          <cell r="R31">
            <v>3.7532852564102579</v>
          </cell>
          <cell r="S31">
            <v>3.9199519230769244</v>
          </cell>
          <cell r="T31">
            <v>4.0866185897435914</v>
          </cell>
          <cell r="U31">
            <v>4.2532852564102583</v>
          </cell>
          <cell r="V31">
            <v>4.4199519230769253</v>
          </cell>
        </row>
        <row r="32">
          <cell r="F32" t="str">
            <v>Delta1</v>
          </cell>
          <cell r="G32">
            <v>0.13048571428571432</v>
          </cell>
          <cell r="H32">
            <v>0.13048571428571387</v>
          </cell>
          <cell r="I32">
            <v>0.13048571428571432</v>
          </cell>
          <cell r="J32">
            <v>0.13048571428571432</v>
          </cell>
          <cell r="K32">
            <v>0.13048571428571476</v>
          </cell>
          <cell r="L32">
            <v>0.13048571428571432</v>
          </cell>
          <cell r="M32">
            <v>0.13048571428571432</v>
          </cell>
          <cell r="N32">
            <v>0.13048571428571476</v>
          </cell>
          <cell r="O32">
            <v>0.13048571428571432</v>
          </cell>
          <cell r="P32">
            <v>0.13048571428571432</v>
          </cell>
          <cell r="Q32">
            <v>0.13048571428571432</v>
          </cell>
          <cell r="R32">
            <v>0.13048571428571432</v>
          </cell>
          <cell r="S32">
            <v>0.13048571428571432</v>
          </cell>
          <cell r="T32">
            <v>0.13048571428571432</v>
          </cell>
          <cell r="U32">
            <v>0.13048571428571432</v>
          </cell>
          <cell r="V32">
            <v>0.13048571428571432</v>
          </cell>
        </row>
        <row r="33">
          <cell r="F33" t="str">
            <v>Delta2</v>
          </cell>
          <cell r="G33">
            <v>8.6990476190476507E-2</v>
          </cell>
          <cell r="H33">
            <v>8.6990476190476507E-2</v>
          </cell>
          <cell r="I33">
            <v>8.6990476190476063E-2</v>
          </cell>
          <cell r="J33">
            <v>8.6990476190476507E-2</v>
          </cell>
          <cell r="K33">
            <v>8.6990476190475619E-2</v>
          </cell>
          <cell r="L33">
            <v>8.6990476190475619E-2</v>
          </cell>
          <cell r="M33">
            <v>8.6990476190476063E-2</v>
          </cell>
          <cell r="N33">
            <v>8.6990476190475619E-2</v>
          </cell>
          <cell r="O33">
            <v>8.6990476190476063E-2</v>
          </cell>
          <cell r="P33">
            <v>8.6990476190476063E-2</v>
          </cell>
          <cell r="Q33">
            <v>8.6990476190475619E-2</v>
          </cell>
          <cell r="R33">
            <v>8.6990476190476063E-2</v>
          </cell>
          <cell r="S33">
            <v>8.6990476190476507E-2</v>
          </cell>
          <cell r="T33">
            <v>8.6990476190475619E-2</v>
          </cell>
          <cell r="U33">
            <v>8.6990476190475619E-2</v>
          </cell>
          <cell r="V33">
            <v>8.6990476190475619E-2</v>
          </cell>
        </row>
        <row r="34">
          <cell r="F34" t="str">
            <v>Delta3</v>
          </cell>
          <cell r="G34">
            <v>0.32621428571428535</v>
          </cell>
          <cell r="H34">
            <v>0.32621428571428579</v>
          </cell>
          <cell r="I34">
            <v>0.32621428571428623</v>
          </cell>
          <cell r="J34">
            <v>0.32621428571428579</v>
          </cell>
          <cell r="K34">
            <v>0.32621428571428579</v>
          </cell>
          <cell r="L34">
            <v>0.32621428571428579</v>
          </cell>
          <cell r="M34">
            <v>0.32621428571428579</v>
          </cell>
          <cell r="N34">
            <v>0.32621428571428579</v>
          </cell>
          <cell r="O34">
            <v>0.32621428571428623</v>
          </cell>
          <cell r="P34">
            <v>0.32621428571428579</v>
          </cell>
          <cell r="Q34">
            <v>0.32621428571428623</v>
          </cell>
          <cell r="R34">
            <v>0.32621428571428623</v>
          </cell>
          <cell r="S34">
            <v>0.32621428571428623</v>
          </cell>
          <cell r="T34">
            <v>0.32621428571428623</v>
          </cell>
          <cell r="U34">
            <v>0.32621428571428623</v>
          </cell>
          <cell r="V34">
            <v>0.32621428571428623</v>
          </cell>
        </row>
        <row r="38">
          <cell r="C38">
            <v>2.3039423076923078</v>
          </cell>
          <cell r="E38">
            <v>54.153068696493314</v>
          </cell>
        </row>
        <row r="39">
          <cell r="C39">
            <v>2.503942307692308</v>
          </cell>
          <cell r="E39">
            <v>58.853973620691221</v>
          </cell>
        </row>
        <row r="40">
          <cell r="C40">
            <v>2.7039423076923081</v>
          </cell>
          <cell r="E40">
            <v>63.554878544889128</v>
          </cell>
        </row>
        <row r="41">
          <cell r="C41">
            <v>2.9039423076923083</v>
          </cell>
          <cell r="E41">
            <v>68.255783469087049</v>
          </cell>
        </row>
        <row r="42">
          <cell r="C42">
            <v>3.1039423076923085</v>
          </cell>
          <cell r="E42">
            <v>72.956688393284963</v>
          </cell>
        </row>
        <row r="43">
          <cell r="C43">
            <v>3.3039423076923087</v>
          </cell>
          <cell r="E43">
            <v>77.657593317482863</v>
          </cell>
        </row>
        <row r="44">
          <cell r="C44">
            <v>3.5039423076923089</v>
          </cell>
          <cell r="E44">
            <v>82.358498241680792</v>
          </cell>
        </row>
        <row r="45">
          <cell r="C45">
            <v>3.703942307692309</v>
          </cell>
          <cell r="E45">
            <v>87.059403165878692</v>
          </cell>
        </row>
        <row r="46">
          <cell r="C46">
            <v>3.9039423076923092</v>
          </cell>
          <cell r="E46">
            <v>91.760308090076606</v>
          </cell>
        </row>
        <row r="47">
          <cell r="C47">
            <v>4.1039423076923089</v>
          </cell>
          <cell r="E47">
            <v>96.461213014274492</v>
          </cell>
        </row>
        <row r="48">
          <cell r="C48">
            <v>4.3039423076923091</v>
          </cell>
          <cell r="E48">
            <v>101.16211793847242</v>
          </cell>
        </row>
        <row r="49">
          <cell r="C49">
            <v>4.5039423076923093</v>
          </cell>
          <cell r="E49">
            <v>105.86302286267033</v>
          </cell>
        </row>
        <row r="50">
          <cell r="C50">
            <v>4.7039423076923095</v>
          </cell>
          <cell r="E50">
            <v>110.56392778686825</v>
          </cell>
        </row>
        <row r="51">
          <cell r="C51">
            <v>4.9039423076923097</v>
          </cell>
          <cell r="E51">
            <v>115.26483271106616</v>
          </cell>
        </row>
        <row r="52">
          <cell r="C52">
            <v>5.1039423076923098</v>
          </cell>
          <cell r="E52">
            <v>119.96573763526409</v>
          </cell>
        </row>
        <row r="53">
          <cell r="C53">
            <v>5.30394230769231</v>
          </cell>
          <cell r="E53">
            <v>124.66664255946198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chrome-extension://efaidnbmnnnibpcajpcglclefindmkaj/https:/pubs.usgs.gov/periodicals/mcs2023/mcs2023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electricity/annual/html/epa_04_03.html" TargetMode="External"/><Relationship Id="rId1" Type="http://schemas.openxmlformats.org/officeDocument/2006/relationships/hyperlink" Target="https://infrastructurereportcard.org/wp-content/uploads/2020/12/Energy-2021.pdf" TargetMode="Externa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lobalccsinstitute.com/wp-content/uploads/2021/04/Circular-Carbon-Economy-series-Blue-Hydrogen.pdf" TargetMode="External"/><Relationship Id="rId3" Type="http://schemas.openxmlformats.org/officeDocument/2006/relationships/hyperlink" Target="https://www.eia.gov/tools/faqs/faq.php?id=74&amp;t=11" TargetMode="External"/><Relationship Id="rId7" Type="http://schemas.openxmlformats.org/officeDocument/2006/relationships/hyperlink" Target="https://greet.es.anl.gov/publication-smr_h2_2019" TargetMode="External"/><Relationship Id="rId2" Type="http://schemas.openxmlformats.org/officeDocument/2006/relationships/hyperlink" Target="https://www.eia.gov/tools/faqs/faq.php?id=74&amp;t=11" TargetMode="External"/><Relationship Id="rId1" Type="http://schemas.openxmlformats.org/officeDocument/2006/relationships/hyperlink" Target="https://www.carbonfootprint.com/docs/2019_06_emissions_factors_sources_for_2019_electricity.pdf" TargetMode="External"/><Relationship Id="rId6" Type="http://schemas.openxmlformats.org/officeDocument/2006/relationships/hyperlink" Target="https://www.energy.gov/sites/prod/files/2019/09/f66/Life%20Cycle%20Analysis%20of%20Natural%20Gas%20Extraction%20and%20Power%20Generation%2005_29_14%20NETL.pdf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nrel.gov/docs/fy99osti/25119.pdf" TargetMode="External"/><Relationship Id="rId10" Type="http://schemas.openxmlformats.org/officeDocument/2006/relationships/hyperlink" Target="https://www.carbonfootprint.com/docs/2019_06_emissions_factors_sources_for_2019_electricity.pdf" TargetMode="External"/><Relationship Id="rId4" Type="http://schemas.openxmlformats.org/officeDocument/2006/relationships/hyperlink" Target="https://www.democrats.senate.gov/imo/media/doc/inflation_reduction_act_of_2022.pdf" TargetMode="External"/><Relationship Id="rId9" Type="http://schemas.openxmlformats.org/officeDocument/2006/relationships/hyperlink" Target="https://www.globalccsinstitute.com/wp-content/uploads/2021/04/Circular-Carbon-Economy-series-Blue-Hydrog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8F276-335F-4FDF-97DB-B26ECBF19137}">
  <dimension ref="A1:E9"/>
  <sheetViews>
    <sheetView tabSelected="1" zoomScale="130" workbookViewId="0"/>
  </sheetViews>
  <sheetFormatPr defaultColWidth="8.88671875" defaultRowHeight="14.4"/>
  <cols>
    <col min="1" max="1" width="24" style="39" customWidth="1"/>
    <col min="2" max="2" width="17" style="39" customWidth="1"/>
    <col min="3" max="3" width="16.5546875" style="39" customWidth="1"/>
    <col min="4" max="4" width="20.21875" style="39" customWidth="1"/>
    <col min="5" max="16384" width="8.88671875" style="39"/>
  </cols>
  <sheetData>
    <row r="1" spans="1:5" ht="43.8" thickBot="1">
      <c r="A1" s="64" t="s">
        <v>241</v>
      </c>
    </row>
    <row r="2" spans="1:5" ht="28.8">
      <c r="A2" s="178" t="s">
        <v>242</v>
      </c>
      <c r="B2" s="37" t="s">
        <v>37</v>
      </c>
      <c r="C2" s="37" t="s">
        <v>38</v>
      </c>
      <c r="D2" s="37" t="s">
        <v>39</v>
      </c>
      <c r="E2" s="38"/>
    </row>
    <row r="3" spans="1:5">
      <c r="A3" s="37" t="s">
        <v>40</v>
      </c>
      <c r="B3" s="40">
        <v>22</v>
      </c>
      <c r="C3" s="40">
        <v>1.3</v>
      </c>
      <c r="D3" s="40">
        <v>11</v>
      </c>
      <c r="E3" s="38"/>
    </row>
    <row r="4" spans="1:5" ht="28.8">
      <c r="A4" s="37" t="s">
        <v>41</v>
      </c>
      <c r="B4" s="40">
        <v>3200</v>
      </c>
      <c r="C4" s="40">
        <v>103</v>
      </c>
      <c r="D4" s="40">
        <v>132</v>
      </c>
      <c r="E4" s="38"/>
    </row>
    <row r="5" spans="1:5">
      <c r="A5" s="37" t="s">
        <v>42</v>
      </c>
      <c r="B5" s="40">
        <v>69</v>
      </c>
      <c r="C5" s="40">
        <v>0.86</v>
      </c>
      <c r="D5" s="40">
        <v>2.9</v>
      </c>
      <c r="E5" s="38"/>
    </row>
    <row r="6" spans="1:5">
      <c r="A6" s="37" t="s">
        <v>43</v>
      </c>
      <c r="B6" s="40">
        <v>4100</v>
      </c>
      <c r="C6" s="40">
        <v>95</v>
      </c>
      <c r="D6" s="40">
        <v>14.6</v>
      </c>
      <c r="E6" s="38"/>
    </row>
    <row r="7" spans="1:5" ht="15" thickBot="1">
      <c r="A7" s="38"/>
    </row>
    <row r="8" spans="1:5" ht="44.4" thickTop="1" thickBot="1">
      <c r="A8" s="41" t="s">
        <v>44</v>
      </c>
      <c r="B8" s="42" t="s">
        <v>45</v>
      </c>
    </row>
    <row r="9" spans="1:5" ht="15" thickTop="1"/>
  </sheetData>
  <hyperlinks>
    <hyperlink ref="B8" r:id="rId1" xr:uid="{06732120-2454-4506-A2FD-E795C800288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A3E87-EF7F-44E6-AD3D-C118FDE5FE35}">
  <dimension ref="A1:L51"/>
  <sheetViews>
    <sheetView zoomScale="53" zoomScaleNormal="55" workbookViewId="0">
      <selection activeCell="L26" sqref="L26"/>
    </sheetView>
  </sheetViews>
  <sheetFormatPr defaultRowHeight="14.4"/>
  <cols>
    <col min="1" max="2" width="20" customWidth="1"/>
    <col min="3" max="3" width="25.5546875" customWidth="1"/>
    <col min="4" max="4" width="25.109375" customWidth="1"/>
    <col min="5" max="5" width="21.33203125" customWidth="1"/>
    <col min="6" max="6" width="23.5546875" customWidth="1"/>
    <col min="7" max="7" width="19.5546875" customWidth="1"/>
    <col min="8" max="8" width="21" customWidth="1"/>
    <col min="9" max="9" width="19.6640625" customWidth="1"/>
    <col min="10" max="10" width="22.5546875" customWidth="1"/>
    <col min="11" max="11" width="12.5546875" customWidth="1"/>
    <col min="12" max="12" width="15.6640625" customWidth="1"/>
    <col min="13" max="13" width="19.33203125" customWidth="1"/>
    <col min="14" max="14" width="13.109375" customWidth="1"/>
    <col min="15" max="15" width="22.109375" customWidth="1"/>
    <col min="16" max="16" width="14.88671875" customWidth="1"/>
    <col min="19" max="19" width="19.88671875" customWidth="1"/>
  </cols>
  <sheetData>
    <row r="1" spans="1:10" ht="19.2" customHeight="1" thickBot="1">
      <c r="A1" s="179" t="s">
        <v>210</v>
      </c>
      <c r="B1" s="180"/>
    </row>
    <row r="2" spans="1:10" ht="36.6" thickBot="1">
      <c r="A2" s="67"/>
      <c r="B2" s="68"/>
      <c r="C2" s="69" t="s">
        <v>140</v>
      </c>
      <c r="D2" s="69" t="s">
        <v>141</v>
      </c>
      <c r="E2" s="69" t="s">
        <v>84</v>
      </c>
      <c r="F2" s="110" t="s">
        <v>85</v>
      </c>
      <c r="G2" s="110" t="s">
        <v>139</v>
      </c>
      <c r="H2" s="110" t="s">
        <v>138</v>
      </c>
      <c r="I2" s="231" t="s">
        <v>197</v>
      </c>
      <c r="J2" s="233" t="s">
        <v>240</v>
      </c>
    </row>
    <row r="3" spans="1:10" ht="21" customHeight="1" thickBot="1">
      <c r="A3" s="201" t="s">
        <v>53</v>
      </c>
      <c r="B3" s="70" t="s">
        <v>86</v>
      </c>
      <c r="C3" s="71">
        <f>2.74*44/16</f>
        <v>7.5350000000000001</v>
      </c>
      <c r="D3" s="71">
        <f>2.74*'SI Table 4'!B3</f>
        <v>1.0960000000000001</v>
      </c>
      <c r="E3" s="71">
        <f>31.5*2.75</f>
        <v>86.625</v>
      </c>
      <c r="F3" s="71">
        <f>31.5*'SI Table 4'!B3</f>
        <v>12.600000000000001</v>
      </c>
      <c r="G3" s="71">
        <f>21*44/16</f>
        <v>57.75</v>
      </c>
      <c r="H3" s="71">
        <f>21*'SI Table 4'!B3</f>
        <v>8.4</v>
      </c>
      <c r="I3" s="232">
        <f>SUM(C3:H3)</f>
        <v>174.006</v>
      </c>
      <c r="J3" s="234">
        <f>I3-(G3+H3)</f>
        <v>107.85599999999999</v>
      </c>
    </row>
    <row r="4" spans="1:10" ht="21" customHeight="1" thickBot="1">
      <c r="A4" s="202"/>
      <c r="B4" s="70" t="s">
        <v>87</v>
      </c>
      <c r="C4" s="71">
        <f>2.74*44/16</f>
        <v>7.5350000000000001</v>
      </c>
      <c r="D4" s="71">
        <f>2.74*'SI Table 4'!D3</f>
        <v>1.6440000000000001</v>
      </c>
      <c r="E4" s="71">
        <f>31.5*2.75</f>
        <v>86.625</v>
      </c>
      <c r="F4" s="71">
        <f>31.5*'SI Table 4'!D3</f>
        <v>18.899999999999999</v>
      </c>
      <c r="G4" s="71">
        <f>21*44/16</f>
        <v>57.75</v>
      </c>
      <c r="H4" s="71">
        <f>21*'SI Table 4'!D3</f>
        <v>12.6</v>
      </c>
      <c r="I4" s="232">
        <f t="shared" ref="I4:I19" si="0">SUM(C4:H4)</f>
        <v>185.054</v>
      </c>
      <c r="J4" s="234">
        <f t="shared" ref="J4:J19" si="1">I4-(G4+H4)</f>
        <v>114.70400000000001</v>
      </c>
    </row>
    <row r="5" spans="1:10" ht="18.600000000000001" thickBot="1">
      <c r="A5" s="201" t="s">
        <v>54</v>
      </c>
      <c r="B5" s="70" t="s">
        <v>86</v>
      </c>
      <c r="C5" s="71">
        <f>3.19*44/12</f>
        <v>11.696666666666665</v>
      </c>
      <c r="D5" s="71">
        <f>3.19*'SI Table 4'!B4</f>
        <v>0.31900000000000001</v>
      </c>
      <c r="E5" s="71">
        <f>47.24*3.7</f>
        <v>174.78800000000001</v>
      </c>
      <c r="F5" s="71">
        <f>47.24*'SI Table 4'!B4</f>
        <v>4.7240000000000002</v>
      </c>
      <c r="G5" s="71">
        <f>36*44/16</f>
        <v>99</v>
      </c>
      <c r="H5" s="71">
        <f>36*'SI Table 4'!B4</f>
        <v>3.6</v>
      </c>
      <c r="I5" s="232">
        <f t="shared" si="0"/>
        <v>294.1276666666667</v>
      </c>
      <c r="J5" s="234">
        <f t="shared" si="1"/>
        <v>191.5276666666667</v>
      </c>
    </row>
    <row r="6" spans="1:10" ht="18.600000000000001" thickBot="1">
      <c r="A6" s="202"/>
      <c r="B6" s="70" t="s">
        <v>87</v>
      </c>
      <c r="C6" s="71">
        <f>3.19*44/12</f>
        <v>11.696666666666665</v>
      </c>
      <c r="D6" s="71">
        <f>3.19*'SI Table 4'!D4</f>
        <v>1.2121999999999999</v>
      </c>
      <c r="E6" s="71">
        <f>47.24*3.7</f>
        <v>174.78800000000001</v>
      </c>
      <c r="F6" s="71">
        <f>47.24*'SI Table 4'!D4</f>
        <v>17.9512</v>
      </c>
      <c r="G6" s="71">
        <f>36*44/16</f>
        <v>99</v>
      </c>
      <c r="H6" s="71">
        <f>36*'SI Table 4'!D4</f>
        <v>13.68</v>
      </c>
      <c r="I6" s="232">
        <f t="shared" si="0"/>
        <v>318.32806666666664</v>
      </c>
      <c r="J6" s="234">
        <f t="shared" si="1"/>
        <v>205.64806666666664</v>
      </c>
    </row>
    <row r="7" spans="1:10" ht="18.600000000000001" thickBot="1">
      <c r="A7" s="201" t="s">
        <v>88</v>
      </c>
      <c r="B7" s="70" t="s">
        <v>86</v>
      </c>
      <c r="C7" s="71">
        <v>0</v>
      </c>
      <c r="D7" s="71">
        <f>2.37*'SI Table 4'!C5</f>
        <v>9.48</v>
      </c>
      <c r="E7" s="71">
        <v>0</v>
      </c>
      <c r="F7" s="71">
        <f>15.75*'SI Table 4'!C5</f>
        <v>63</v>
      </c>
      <c r="G7" s="71">
        <v>0</v>
      </c>
      <c r="H7" s="71">
        <f>8*'SI Table 4'!C5</f>
        <v>32</v>
      </c>
      <c r="I7" s="232">
        <f t="shared" si="0"/>
        <v>104.48</v>
      </c>
      <c r="J7" s="234">
        <f t="shared" si="1"/>
        <v>72.48</v>
      </c>
    </row>
    <row r="8" spans="1:10" ht="18.600000000000001" thickBot="1">
      <c r="A8" s="202"/>
      <c r="B8" s="70" t="s">
        <v>87</v>
      </c>
      <c r="C8" s="71">
        <v>0</v>
      </c>
      <c r="D8" s="71">
        <f>2.37*'SI Table 4'!E5</f>
        <v>28.44</v>
      </c>
      <c r="E8" s="71">
        <v>0</v>
      </c>
      <c r="F8" s="71">
        <f>15.75*'SI Table 4'!E5</f>
        <v>189</v>
      </c>
      <c r="G8" s="71">
        <v>0</v>
      </c>
      <c r="H8" s="71">
        <f>8*'SI Table 4'!E5</f>
        <v>96</v>
      </c>
      <c r="I8" s="232">
        <f t="shared" si="0"/>
        <v>313.44</v>
      </c>
      <c r="J8" s="234">
        <f t="shared" si="1"/>
        <v>217.44</v>
      </c>
    </row>
    <row r="9" spans="1:10" ht="38.25" customHeight="1" thickBot="1">
      <c r="A9" s="201" t="s">
        <v>195</v>
      </c>
      <c r="B9" s="70" t="s">
        <v>86</v>
      </c>
      <c r="C9" s="71">
        <v>0</v>
      </c>
      <c r="D9" s="71">
        <f>2.37*'SI Table 4'!C6</f>
        <v>5.9250000000000007</v>
      </c>
      <c r="E9" s="71">
        <v>0</v>
      </c>
      <c r="F9" s="71">
        <f>15.75*'SI Table 4'!C6</f>
        <v>39.375</v>
      </c>
      <c r="G9" s="71">
        <v>0</v>
      </c>
      <c r="H9" s="71">
        <f>8*'SI Table 4'!C6</f>
        <v>20</v>
      </c>
      <c r="I9" s="232">
        <f t="shared" si="0"/>
        <v>65.3</v>
      </c>
      <c r="J9" s="234">
        <f t="shared" si="1"/>
        <v>45.3</v>
      </c>
    </row>
    <row r="10" spans="1:10" ht="18.600000000000001" thickBot="1">
      <c r="A10" s="202"/>
      <c r="B10" s="70" t="s">
        <v>87</v>
      </c>
      <c r="C10" s="71">
        <v>0</v>
      </c>
      <c r="D10" s="71">
        <f>2.37*'SI Table 4'!E6</f>
        <v>16.59</v>
      </c>
      <c r="E10" s="71">
        <v>0</v>
      </c>
      <c r="F10" s="71">
        <f>15.75*'SI Table 4'!E6</f>
        <v>110.25</v>
      </c>
      <c r="G10" s="71">
        <v>0</v>
      </c>
      <c r="H10" s="71">
        <f>8*'SI Table 4'!E6</f>
        <v>56</v>
      </c>
      <c r="I10" s="232">
        <f t="shared" si="0"/>
        <v>182.84</v>
      </c>
      <c r="J10" s="234">
        <f t="shared" si="1"/>
        <v>126.84</v>
      </c>
    </row>
    <row r="11" spans="1:10" ht="38.25" customHeight="1" thickBot="1">
      <c r="A11" s="201" t="s">
        <v>194</v>
      </c>
      <c r="B11" s="70" t="s">
        <v>86</v>
      </c>
      <c r="C11" s="71">
        <v>0</v>
      </c>
      <c r="D11" s="71">
        <f>2.37*'SI Table 4'!C7</f>
        <v>3.5550000000000002</v>
      </c>
      <c r="E11" s="71">
        <v>0</v>
      </c>
      <c r="F11" s="71">
        <f>15.75*'SI Table 4'!C7</f>
        <v>23.625</v>
      </c>
      <c r="G11" s="71">
        <v>0</v>
      </c>
      <c r="H11" s="71">
        <f>8*'SI Table 4'!C7</f>
        <v>12</v>
      </c>
      <c r="I11" s="232">
        <f t="shared" si="0"/>
        <v>39.18</v>
      </c>
      <c r="J11" s="234">
        <f t="shared" si="1"/>
        <v>27.18</v>
      </c>
    </row>
    <row r="12" spans="1:10" ht="18.600000000000001" thickBot="1">
      <c r="A12" s="202"/>
      <c r="B12" s="70" t="s">
        <v>87</v>
      </c>
      <c r="C12" s="71">
        <v>0</v>
      </c>
      <c r="D12" s="71">
        <f>2.37*'SI Table 4'!E7</f>
        <v>7.11</v>
      </c>
      <c r="E12" s="71">
        <v>0</v>
      </c>
      <c r="F12" s="71">
        <f>15.75*'SI Table 4'!E7</f>
        <v>47.25</v>
      </c>
      <c r="G12" s="71">
        <v>0</v>
      </c>
      <c r="H12" s="71">
        <f>8*'SI Table 4'!E7</f>
        <v>24</v>
      </c>
      <c r="I12" s="232">
        <f t="shared" si="0"/>
        <v>78.36</v>
      </c>
      <c r="J12" s="234">
        <f t="shared" si="1"/>
        <v>54.36</v>
      </c>
    </row>
    <row r="13" spans="1:10" ht="44.25" customHeight="1" thickBot="1">
      <c r="A13" s="201" t="s">
        <v>91</v>
      </c>
      <c r="B13" s="70" t="s">
        <v>86</v>
      </c>
      <c r="C13" s="71">
        <v>0</v>
      </c>
      <c r="D13" s="71">
        <f>2.37*'SI Table 4'!C9</f>
        <v>35.550000000000004</v>
      </c>
      <c r="E13" s="71">
        <v>0</v>
      </c>
      <c r="F13" s="71">
        <f>15.75*'SI Table 4'!C9</f>
        <v>236.25</v>
      </c>
      <c r="G13" s="71">
        <v>0</v>
      </c>
      <c r="H13" s="71">
        <f>8*'SI Table 4'!C9</f>
        <v>120</v>
      </c>
      <c r="I13" s="232">
        <f t="shared" si="0"/>
        <v>391.8</v>
      </c>
      <c r="J13" s="234">
        <f t="shared" si="1"/>
        <v>271.8</v>
      </c>
    </row>
    <row r="14" spans="1:10" ht="44.25" customHeight="1" thickBot="1">
      <c r="A14" s="202"/>
      <c r="B14" s="70" t="s">
        <v>87</v>
      </c>
      <c r="C14" s="71">
        <v>0</v>
      </c>
      <c r="D14" s="71">
        <f>2.37*'SI Table 4'!E9</f>
        <v>82.95</v>
      </c>
      <c r="E14" s="71">
        <v>0</v>
      </c>
      <c r="F14" s="71">
        <f>15.75*'SI Table 4'!E9</f>
        <v>551.25</v>
      </c>
      <c r="G14" s="71">
        <v>0</v>
      </c>
      <c r="H14" s="71">
        <f>8*'SI Table 4'!E9</f>
        <v>280</v>
      </c>
      <c r="I14" s="232">
        <f t="shared" si="0"/>
        <v>914.2</v>
      </c>
      <c r="J14" s="234">
        <f t="shared" si="1"/>
        <v>634.20000000000005</v>
      </c>
    </row>
    <row r="15" spans="1:10" ht="18.600000000000001" thickBot="1">
      <c r="A15" s="201" t="s">
        <v>92</v>
      </c>
      <c r="B15" s="70" t="s">
        <v>86</v>
      </c>
      <c r="C15" s="71">
        <v>0</v>
      </c>
      <c r="D15" s="71">
        <f>2.37*'SI Table 4'!C10</f>
        <v>106.65</v>
      </c>
      <c r="E15" s="71">
        <v>0</v>
      </c>
      <c r="F15" s="71">
        <f>15.75*'SI Table 4'!C10</f>
        <v>708.75</v>
      </c>
      <c r="G15" s="71">
        <v>0</v>
      </c>
      <c r="H15" s="71">
        <f>8*'SI Table 4'!C10</f>
        <v>360</v>
      </c>
      <c r="I15" s="232">
        <f t="shared" si="0"/>
        <v>1175.4000000000001</v>
      </c>
      <c r="J15" s="234">
        <f t="shared" si="1"/>
        <v>815.40000000000009</v>
      </c>
    </row>
    <row r="16" spans="1:10" ht="18.600000000000001" thickBot="1">
      <c r="A16" s="202"/>
      <c r="B16" s="70" t="s">
        <v>87</v>
      </c>
      <c r="C16" s="71">
        <v>0</v>
      </c>
      <c r="D16" s="71">
        <f>2.37*'SI Table 4'!E10</f>
        <v>118.5</v>
      </c>
      <c r="E16" s="71">
        <v>0</v>
      </c>
      <c r="F16" s="71">
        <f>15.75*'SI Table 4'!E10</f>
        <v>787.5</v>
      </c>
      <c r="G16" s="71">
        <v>0</v>
      </c>
      <c r="H16" s="71">
        <f>8*'SI Table 4'!E10</f>
        <v>400</v>
      </c>
      <c r="I16" s="232">
        <f t="shared" si="0"/>
        <v>1306</v>
      </c>
      <c r="J16" s="234">
        <f t="shared" si="1"/>
        <v>906</v>
      </c>
    </row>
    <row r="17" spans="1:12" ht="38.25" customHeight="1" thickBot="1">
      <c r="A17" s="177" t="s">
        <v>119</v>
      </c>
      <c r="B17" s="90"/>
      <c r="C17" s="71">
        <v>0</v>
      </c>
      <c r="D17" s="71">
        <f>2.37*'SI Table 4'!C11</f>
        <v>56.394149999999996</v>
      </c>
      <c r="E17" s="71">
        <v>0</v>
      </c>
      <c r="F17" s="71">
        <f>15.75*'SI Table 4'!C11</f>
        <v>374.77124999999995</v>
      </c>
      <c r="G17" s="71">
        <v>0</v>
      </c>
      <c r="H17" s="71">
        <f>8*'SI Table 4'!C11</f>
        <v>190.35999999999999</v>
      </c>
      <c r="I17" s="232">
        <f t="shared" si="0"/>
        <v>621.52539999999999</v>
      </c>
      <c r="J17" s="234">
        <f t="shared" si="1"/>
        <v>431.16539999999998</v>
      </c>
    </row>
    <row r="18" spans="1:12" ht="18.600000000000001" thickBot="1">
      <c r="A18" s="201" t="s">
        <v>93</v>
      </c>
      <c r="B18" s="83" t="s">
        <v>86</v>
      </c>
      <c r="C18" s="71">
        <v>0</v>
      </c>
      <c r="D18" s="71">
        <f>2.37*'SI Table 4'!C12</f>
        <v>0.59250000000000003</v>
      </c>
      <c r="E18" s="71">
        <v>0</v>
      </c>
      <c r="F18" s="71">
        <f>15.75*'SI Table 4'!C12</f>
        <v>3.9375</v>
      </c>
      <c r="G18" s="71">
        <v>0</v>
      </c>
      <c r="H18" s="71">
        <f>8*'SI Table 4'!C12</f>
        <v>2</v>
      </c>
      <c r="I18" s="232">
        <f t="shared" si="0"/>
        <v>6.53</v>
      </c>
      <c r="J18" s="234">
        <f t="shared" si="1"/>
        <v>4.53</v>
      </c>
    </row>
    <row r="19" spans="1:12" ht="18.600000000000001" thickBot="1">
      <c r="A19" s="202"/>
      <c r="B19" s="70" t="s">
        <v>87</v>
      </c>
      <c r="C19" s="71">
        <v>0</v>
      </c>
      <c r="D19" s="71">
        <f>2.37*'SI Table 4'!E12</f>
        <v>1.0665</v>
      </c>
      <c r="E19" s="71">
        <v>0</v>
      </c>
      <c r="F19" s="71">
        <f>15.75*'SI Table 4'!E12</f>
        <v>7.0874999999999995</v>
      </c>
      <c r="G19" s="71">
        <v>0</v>
      </c>
      <c r="H19" s="71">
        <f>8*'SI Table 4'!E12</f>
        <v>3.5999999999999996</v>
      </c>
      <c r="I19" s="232">
        <f t="shared" si="0"/>
        <v>11.754</v>
      </c>
      <c r="J19" s="234">
        <f t="shared" si="1"/>
        <v>8.1539999999999999</v>
      </c>
      <c r="K19" s="73"/>
      <c r="L19" s="73"/>
    </row>
    <row r="20" spans="1:12" ht="18.600000000000001" thickBot="1">
      <c r="A20" s="177" t="s">
        <v>206</v>
      </c>
      <c r="B20" s="90"/>
      <c r="C20" s="71">
        <v>0</v>
      </c>
      <c r="D20" s="71">
        <f>2.37*'SI Table 4'!C13</f>
        <v>39.613364999999995</v>
      </c>
      <c r="E20" s="71">
        <v>0</v>
      </c>
      <c r="F20" s="71">
        <f>15.75*'SI Table 4'!C13</f>
        <v>263.25337499999995</v>
      </c>
      <c r="G20" s="71">
        <v>0</v>
      </c>
      <c r="H20" s="71">
        <f>8*'SI Table 4'!C13</f>
        <v>133.71599999999998</v>
      </c>
      <c r="I20" s="232">
        <f t="shared" ref="I20" si="2">SUM(C20:H20)</f>
        <v>436.58273999999994</v>
      </c>
      <c r="J20" s="234">
        <f t="shared" ref="J20" si="3">I20-(G20+H20)</f>
        <v>302.86673999999994</v>
      </c>
    </row>
    <row r="21" spans="1:12" ht="18">
      <c r="H21" s="73"/>
      <c r="I21" s="73"/>
      <c r="J21" s="73"/>
    </row>
    <row r="22" spans="1:12" ht="18">
      <c r="A22" s="19" t="s">
        <v>135</v>
      </c>
      <c r="H22" s="73"/>
      <c r="I22" s="73"/>
      <c r="J22" s="73"/>
    </row>
    <row r="23" spans="1:12" ht="72">
      <c r="A23" s="230" t="s">
        <v>136</v>
      </c>
      <c r="H23" s="73"/>
      <c r="I23" s="73"/>
      <c r="J23" s="73"/>
    </row>
    <row r="24" spans="1:12" ht="57.6">
      <c r="A24" s="230" t="s">
        <v>137</v>
      </c>
      <c r="H24" s="73"/>
      <c r="I24" s="73"/>
      <c r="J24" s="73"/>
    </row>
    <row r="25" spans="1:12" ht="18">
      <c r="H25" s="73"/>
      <c r="I25" s="73"/>
      <c r="J25" s="73"/>
    </row>
    <row r="26" spans="1:12" ht="18">
      <c r="H26" s="73"/>
      <c r="I26" s="73"/>
      <c r="J26" s="73"/>
    </row>
    <row r="27" spans="1:12" ht="18">
      <c r="H27" s="73"/>
      <c r="I27" s="73"/>
      <c r="J27" s="73"/>
    </row>
    <row r="28" spans="1:12" ht="18">
      <c r="H28" s="73"/>
      <c r="I28" s="73"/>
      <c r="J28" s="73"/>
    </row>
    <row r="29" spans="1:12" ht="18">
      <c r="H29" s="73"/>
      <c r="I29" s="73"/>
      <c r="J29" s="73"/>
    </row>
    <row r="30" spans="1:12" ht="18">
      <c r="H30" s="73"/>
      <c r="I30" s="73"/>
      <c r="J30" s="73"/>
    </row>
    <row r="31" spans="1:12" ht="18">
      <c r="H31" s="73"/>
      <c r="I31" s="73"/>
      <c r="J31" s="73"/>
    </row>
    <row r="32" spans="1:12" ht="18">
      <c r="H32" s="73"/>
      <c r="I32" s="73"/>
      <c r="J32" s="73"/>
    </row>
    <row r="33" spans="3:10" ht="18">
      <c r="H33" s="72"/>
      <c r="I33" s="72"/>
      <c r="J33" s="72"/>
    </row>
    <row r="34" spans="3:10" ht="18">
      <c r="C34" s="72"/>
      <c r="D34" s="72"/>
    </row>
    <row r="35" spans="3:10" ht="19.5" customHeight="1"/>
    <row r="36" spans="3:10" ht="19.5" customHeight="1"/>
    <row r="37" spans="3:10" ht="19.5" customHeight="1"/>
    <row r="38" spans="3:10" ht="19.5" customHeight="1"/>
    <row r="39" spans="3:10" ht="19.5" customHeight="1"/>
    <row r="40" spans="3:10" ht="19.5" customHeight="1"/>
    <row r="41" spans="3:10" ht="19.5" customHeight="1"/>
    <row r="42" spans="3:10" ht="19.5" customHeight="1"/>
    <row r="43" spans="3:10" ht="19.5" customHeight="1"/>
    <row r="44" spans="3:10" ht="19.5" customHeight="1"/>
    <row r="45" spans="3:10" ht="19.5" customHeight="1"/>
    <row r="47" spans="3:10" ht="18.75" customHeight="1"/>
    <row r="49" ht="19.5" customHeight="1"/>
    <row r="51" ht="19.5" customHeight="1"/>
  </sheetData>
  <mergeCells count="9">
    <mergeCell ref="A1:B1"/>
    <mergeCell ref="A15:A16"/>
    <mergeCell ref="A18:A19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1A7E-819C-484D-9AF2-BC4F05C3EAD4}">
  <dimension ref="A1:V30"/>
  <sheetViews>
    <sheetView zoomScale="76" zoomScaleNormal="85" workbookViewId="0">
      <selection sqref="A1:B1"/>
    </sheetView>
  </sheetViews>
  <sheetFormatPr defaultRowHeight="14.4"/>
  <cols>
    <col min="2" max="2" width="13.109375" bestFit="1" customWidth="1"/>
    <col min="3" max="3" width="15.6640625" customWidth="1"/>
    <col min="4" max="4" width="13.6640625" customWidth="1"/>
    <col min="5" max="5" width="13.88671875" customWidth="1"/>
    <col min="6" max="6" width="12" bestFit="1" customWidth="1"/>
  </cols>
  <sheetData>
    <row r="1" spans="1:22" ht="76.95" customHeight="1">
      <c r="A1" s="179" t="s">
        <v>208</v>
      </c>
      <c r="B1" s="180"/>
    </row>
    <row r="2" spans="1:22">
      <c r="A2" s="77" t="s">
        <v>58</v>
      </c>
      <c r="B2" s="78"/>
      <c r="C2" s="78"/>
      <c r="D2" s="78"/>
      <c r="E2" s="78"/>
      <c r="G2" s="1" t="s">
        <v>55</v>
      </c>
      <c r="H2" s="1">
        <v>0</v>
      </c>
      <c r="I2" s="63">
        <v>15.001500150015003</v>
      </c>
      <c r="J2" s="63">
        <v>30.003000300030006</v>
      </c>
      <c r="K2" s="63">
        <v>45.004500450045008</v>
      </c>
      <c r="L2" s="63">
        <v>60.006000600060013</v>
      </c>
      <c r="M2" s="63">
        <v>75.00750075007501</v>
      </c>
      <c r="N2" s="63">
        <v>90.009000900090015</v>
      </c>
      <c r="O2" s="63">
        <v>105.01050105010502</v>
      </c>
      <c r="P2" s="63">
        <v>120.01200120012003</v>
      </c>
      <c r="Q2" s="63">
        <v>135.01350135013502</v>
      </c>
      <c r="R2" s="63">
        <v>150.01500150015002</v>
      </c>
      <c r="S2" s="63">
        <v>175</v>
      </c>
      <c r="T2" s="63">
        <v>200</v>
      </c>
    </row>
    <row r="3" spans="1:22">
      <c r="A3" s="79" t="s">
        <v>59</v>
      </c>
      <c r="B3" s="80" t="s">
        <v>122</v>
      </c>
      <c r="C3" s="80" t="s">
        <v>123</v>
      </c>
      <c r="D3" s="80" t="s">
        <v>124</v>
      </c>
      <c r="E3" s="80" t="s">
        <v>125</v>
      </c>
      <c r="G3" s="1" t="s">
        <v>121</v>
      </c>
      <c r="H3" s="50">
        <v>0.88</v>
      </c>
      <c r="I3" s="50">
        <v>1.17</v>
      </c>
      <c r="J3" s="50">
        <v>1.47</v>
      </c>
      <c r="K3" s="50">
        <v>1.76</v>
      </c>
      <c r="L3" s="50">
        <v>2.0499999999999998</v>
      </c>
      <c r="M3" s="50">
        <v>2.34</v>
      </c>
      <c r="N3" s="50">
        <v>2.64</v>
      </c>
      <c r="O3" s="50">
        <v>2.93</v>
      </c>
      <c r="P3" s="50">
        <v>3.22</v>
      </c>
      <c r="Q3" s="50">
        <v>3.52</v>
      </c>
      <c r="R3" s="50">
        <v>3.81</v>
      </c>
      <c r="S3" s="50">
        <v>4.0999999999999996</v>
      </c>
      <c r="T3" s="50">
        <v>4.4000000000000004</v>
      </c>
    </row>
    <row r="4" spans="1:22" ht="34.5" customHeight="1">
      <c r="A4" s="52">
        <v>0.12771935799736045</v>
      </c>
      <c r="B4" s="1">
        <f t="shared" ref="B4:B16" si="0">($B$24+$D$24+$C$24)*A4/$B$30</f>
        <v>0.27010786124709768</v>
      </c>
      <c r="C4" s="1">
        <f>((($B$24+$D$24+$C$24)*A4)+0.06*($E$24-$E$27))/$B$30</f>
        <v>0.65372195006792455</v>
      </c>
      <c r="D4" s="1">
        <f t="shared" ref="D4:D16" si="1">((($B$24+$D$24+$C$24)*A4)+0.1*($E$24-$E$27))/$B$30</f>
        <v>0.90946467594847591</v>
      </c>
      <c r="E4" s="1">
        <f t="shared" ref="E4:E16" si="2">((($B$24+$D$24+$C$24)*A4)+0.25*($E$24-$E$27))/$B$30</f>
        <v>1.8684998980005432</v>
      </c>
      <c r="G4" s="1" t="s">
        <v>57</v>
      </c>
      <c r="H4" s="52">
        <v>3</v>
      </c>
      <c r="I4" s="52">
        <v>4</v>
      </c>
      <c r="J4" s="52">
        <v>5</v>
      </c>
      <c r="K4" s="52">
        <v>6</v>
      </c>
      <c r="L4" s="52">
        <v>7</v>
      </c>
      <c r="M4" s="52">
        <v>8</v>
      </c>
      <c r="N4" s="52">
        <v>9</v>
      </c>
      <c r="O4" s="52">
        <v>10</v>
      </c>
      <c r="P4" s="52">
        <v>11</v>
      </c>
      <c r="Q4" s="52">
        <v>12</v>
      </c>
      <c r="R4" s="52">
        <v>13</v>
      </c>
      <c r="S4" s="52">
        <v>14</v>
      </c>
      <c r="T4" s="52">
        <v>15</v>
      </c>
    </row>
    <row r="5" spans="1:22" ht="18.75" customHeight="1">
      <c r="A5" s="52">
        <v>0.17029247732981395</v>
      </c>
      <c r="B5" s="1">
        <f t="shared" si="0"/>
        <v>0.36014381499613024</v>
      </c>
      <c r="C5" s="1">
        <f>((($B$24+$D$24+$C$24)*A5)+0.06*($E$24-$E$27))/$B$30</f>
        <v>0.74375790381695706</v>
      </c>
      <c r="D5" s="1">
        <f t="shared" si="1"/>
        <v>0.99950062969750841</v>
      </c>
      <c r="E5" s="1">
        <f t="shared" si="2"/>
        <v>1.9585358517495759</v>
      </c>
      <c r="G5" s="60" t="s">
        <v>59</v>
      </c>
      <c r="H5" s="52">
        <v>0.12771935799736045</v>
      </c>
      <c r="I5" s="52">
        <v>0.17029247732981395</v>
      </c>
      <c r="J5" s="52">
        <v>0.21286559666226743</v>
      </c>
      <c r="K5" s="52">
        <v>0.2554387159947209</v>
      </c>
      <c r="L5" s="52">
        <v>0.2980118353271744</v>
      </c>
      <c r="M5" s="52">
        <v>0.3405849546596279</v>
      </c>
      <c r="N5" s="52">
        <v>0.3831580739920814</v>
      </c>
      <c r="O5" s="52">
        <v>0.42573119332453485</v>
      </c>
      <c r="P5" s="52">
        <v>0.46830431265698835</v>
      </c>
      <c r="Q5" s="52">
        <v>0.5108774319894418</v>
      </c>
      <c r="R5" s="52">
        <v>0.55345055132189536</v>
      </c>
      <c r="S5" s="52">
        <v>0.5960236706543488</v>
      </c>
      <c r="T5" s="52">
        <v>0.63859678998680236</v>
      </c>
      <c r="U5" s="236"/>
      <c r="V5" s="59"/>
    </row>
    <row r="6" spans="1:22">
      <c r="A6" s="52">
        <v>0.21286559666226743</v>
      </c>
      <c r="B6" s="1">
        <f t="shared" si="0"/>
        <v>0.45017976874516286</v>
      </c>
      <c r="C6" s="1">
        <f t="shared" ref="C6:C16" si="3">((($B$24+$D$24+$C$24)*A6)+0.06*($E$24-$E$27))/$B$30</f>
        <v>0.83379385756598978</v>
      </c>
      <c r="D6" s="1">
        <f t="shared" si="1"/>
        <v>1.0895365834465411</v>
      </c>
      <c r="E6" s="1">
        <f t="shared" si="2"/>
        <v>2.0485718054986086</v>
      </c>
      <c r="G6" s="60" t="s">
        <v>122</v>
      </c>
      <c r="H6" s="1">
        <v>0.27010786124709768</v>
      </c>
      <c r="I6" s="1">
        <v>0.36014381499613024</v>
      </c>
      <c r="J6" s="1">
        <v>0.45017976874516286</v>
      </c>
      <c r="K6" s="1">
        <v>0.54021572249419536</v>
      </c>
      <c r="L6" s="1">
        <v>0.63025167624322798</v>
      </c>
      <c r="M6" s="1">
        <v>0.72028762999226048</v>
      </c>
      <c r="N6" s="1">
        <v>0.8103235837412931</v>
      </c>
      <c r="O6" s="1">
        <v>0.90035953749032571</v>
      </c>
      <c r="P6" s="1">
        <v>0.99039549123935822</v>
      </c>
      <c r="Q6" s="1">
        <v>1.0804314449883907</v>
      </c>
      <c r="R6" s="1">
        <v>1.1704673987374234</v>
      </c>
      <c r="S6" s="1">
        <v>1.260503352486456</v>
      </c>
      <c r="T6" s="1">
        <v>1.3505393062354885</v>
      </c>
    </row>
    <row r="7" spans="1:22" ht="15.6">
      <c r="A7" s="52">
        <v>0.2554387159947209</v>
      </c>
      <c r="B7" s="1">
        <f t="shared" si="0"/>
        <v>0.54021572249419536</v>
      </c>
      <c r="C7" s="1">
        <f t="shared" si="3"/>
        <v>0.92382981131502229</v>
      </c>
      <c r="D7" s="1">
        <f t="shared" si="1"/>
        <v>1.1795725371955736</v>
      </c>
      <c r="E7" s="1">
        <f t="shared" si="2"/>
        <v>2.1386077592476411</v>
      </c>
      <c r="G7" s="60" t="s">
        <v>127</v>
      </c>
      <c r="H7" s="1">
        <v>0.65372195006792455</v>
      </c>
      <c r="I7" s="1">
        <v>0.74375790381695706</v>
      </c>
      <c r="J7" s="1">
        <v>0.83379385756598978</v>
      </c>
      <c r="K7" s="1">
        <v>0.92382981131502229</v>
      </c>
      <c r="L7" s="1">
        <v>1.013865765064055</v>
      </c>
      <c r="M7" s="1">
        <v>1.1039017188130875</v>
      </c>
      <c r="N7" s="1">
        <v>1.19393767256212</v>
      </c>
      <c r="O7" s="1">
        <v>1.2839736263111525</v>
      </c>
      <c r="P7" s="1">
        <v>1.374009580060185</v>
      </c>
      <c r="Q7" s="1">
        <v>1.4640455338092175</v>
      </c>
      <c r="R7" s="1">
        <v>1.5540814875582505</v>
      </c>
      <c r="S7" s="1">
        <v>1.644117441307283</v>
      </c>
      <c r="T7" s="1">
        <v>1.7341533950563155</v>
      </c>
    </row>
    <row r="8" spans="1:22" ht="15.6">
      <c r="A8" s="52">
        <v>0.2980118353271744</v>
      </c>
      <c r="B8" s="1">
        <f t="shared" si="0"/>
        <v>0.63025167624322798</v>
      </c>
      <c r="C8" s="1">
        <f t="shared" si="3"/>
        <v>1.013865765064055</v>
      </c>
      <c r="D8" s="1">
        <f t="shared" si="1"/>
        <v>1.2696084909446061</v>
      </c>
      <c r="E8" s="1">
        <f t="shared" si="2"/>
        <v>2.2286437129966736</v>
      </c>
      <c r="G8" s="60" t="s">
        <v>128</v>
      </c>
      <c r="H8" s="1">
        <v>0.90946467594847591</v>
      </c>
      <c r="I8" s="1">
        <v>0.99950062969750841</v>
      </c>
      <c r="J8" s="1">
        <v>1.0895365834465411</v>
      </c>
      <c r="K8" s="1">
        <v>1.1795725371955736</v>
      </c>
      <c r="L8" s="1">
        <v>1.2696084909446061</v>
      </c>
      <c r="M8" s="1">
        <v>1.3596444446936387</v>
      </c>
      <c r="N8" s="1">
        <v>1.4496803984426714</v>
      </c>
      <c r="O8" s="1">
        <v>1.5397163521917041</v>
      </c>
      <c r="P8" s="1">
        <v>1.6297523059407366</v>
      </c>
      <c r="Q8" s="1">
        <v>1.7197882596897691</v>
      </c>
      <c r="R8" s="1">
        <v>1.8098242134388016</v>
      </c>
      <c r="S8" s="1">
        <v>1.8998601671878341</v>
      </c>
      <c r="T8" s="1">
        <v>1.9898961209368666</v>
      </c>
    </row>
    <row r="9" spans="1:22" ht="15.6">
      <c r="A9" s="52">
        <v>0.3405849546596279</v>
      </c>
      <c r="B9" s="1">
        <f t="shared" si="0"/>
        <v>0.72028762999226048</v>
      </c>
      <c r="C9" s="1">
        <f t="shared" si="3"/>
        <v>1.1039017188130875</v>
      </c>
      <c r="D9" s="1">
        <f t="shared" si="1"/>
        <v>1.3596444446936387</v>
      </c>
      <c r="E9" s="1">
        <f t="shared" si="2"/>
        <v>2.3186796667457061</v>
      </c>
      <c r="G9" s="60" t="s">
        <v>129</v>
      </c>
      <c r="H9" s="1">
        <v>1.8684998980005432</v>
      </c>
      <c r="I9" s="1">
        <v>1.9585358517495759</v>
      </c>
      <c r="J9" s="1">
        <v>2.0485718054986086</v>
      </c>
      <c r="K9" s="1">
        <v>2.1386077592476411</v>
      </c>
      <c r="L9" s="1">
        <v>2.2286437129966736</v>
      </c>
      <c r="M9" s="1">
        <v>2.3186796667457061</v>
      </c>
      <c r="N9" s="1">
        <v>2.4087156204947386</v>
      </c>
      <c r="O9" s="1">
        <v>2.4987515742437711</v>
      </c>
      <c r="P9" s="1">
        <v>2.5887875279928036</v>
      </c>
      <c r="Q9" s="1">
        <v>2.6788234817418362</v>
      </c>
      <c r="R9" s="1">
        <v>2.7688594354908691</v>
      </c>
      <c r="S9" s="1">
        <v>2.8588953892399016</v>
      </c>
      <c r="T9" s="1">
        <v>2.9489313429889341</v>
      </c>
    </row>
    <row r="10" spans="1:22">
      <c r="A10" s="52">
        <v>0.3831580739920814</v>
      </c>
      <c r="B10" s="1">
        <f t="shared" si="0"/>
        <v>0.8103235837412931</v>
      </c>
      <c r="C10" s="1">
        <f t="shared" si="3"/>
        <v>1.19393767256212</v>
      </c>
      <c r="D10" s="1">
        <f t="shared" si="1"/>
        <v>1.4496803984426714</v>
      </c>
      <c r="E10" s="1">
        <f t="shared" si="2"/>
        <v>2.4087156204947386</v>
      </c>
      <c r="G10" s="60" t="s">
        <v>126</v>
      </c>
      <c r="H10" s="1">
        <f t="shared" ref="H10:T10" si="4">H6</f>
        <v>0.27010786124709768</v>
      </c>
      <c r="I10" s="1">
        <f t="shared" si="4"/>
        <v>0.36014381499613024</v>
      </c>
      <c r="J10" s="1">
        <f t="shared" si="4"/>
        <v>0.45017976874516286</v>
      </c>
      <c r="K10" s="1">
        <f t="shared" si="4"/>
        <v>0.54021572249419536</v>
      </c>
      <c r="L10" s="1">
        <f t="shared" si="4"/>
        <v>0.63025167624322798</v>
      </c>
      <c r="M10" s="1">
        <f t="shared" si="4"/>
        <v>0.72028762999226048</v>
      </c>
      <c r="N10" s="1">
        <f t="shared" si="4"/>
        <v>0.8103235837412931</v>
      </c>
      <c r="O10" s="1">
        <f t="shared" si="4"/>
        <v>0.90035953749032571</v>
      </c>
      <c r="P10" s="1">
        <f t="shared" si="4"/>
        <v>0.99039549123935822</v>
      </c>
      <c r="Q10" s="1">
        <f t="shared" si="4"/>
        <v>1.0804314449883907</v>
      </c>
      <c r="R10" s="1">
        <f t="shared" si="4"/>
        <v>1.1704673987374234</v>
      </c>
      <c r="S10" s="1">
        <f t="shared" si="4"/>
        <v>1.260503352486456</v>
      </c>
      <c r="T10" s="1">
        <f t="shared" si="4"/>
        <v>1.3505393062354885</v>
      </c>
    </row>
    <row r="11" spans="1:22">
      <c r="A11" s="52">
        <v>0.42573119332453485</v>
      </c>
      <c r="B11" s="1">
        <f t="shared" si="0"/>
        <v>0.90035953749032571</v>
      </c>
      <c r="C11" s="1">
        <f t="shared" si="3"/>
        <v>1.2839736263111525</v>
      </c>
      <c r="D11" s="1">
        <f t="shared" si="1"/>
        <v>1.5397163521917041</v>
      </c>
      <c r="E11" s="1">
        <f t="shared" si="2"/>
        <v>2.4987515742437711</v>
      </c>
      <c r="G11" s="60" t="s">
        <v>66</v>
      </c>
      <c r="H11" s="1">
        <f t="shared" ref="H11:T11" si="5">H7-H6</f>
        <v>0.38361408882082687</v>
      </c>
      <c r="I11" s="1">
        <f t="shared" si="5"/>
        <v>0.38361408882082682</v>
      </c>
      <c r="J11" s="1">
        <f t="shared" si="5"/>
        <v>0.38361408882082693</v>
      </c>
      <c r="K11" s="1">
        <f t="shared" si="5"/>
        <v>0.38361408882082693</v>
      </c>
      <c r="L11" s="1">
        <f t="shared" si="5"/>
        <v>0.38361408882082704</v>
      </c>
      <c r="M11" s="1">
        <f t="shared" si="5"/>
        <v>0.38361408882082704</v>
      </c>
      <c r="N11" s="1">
        <f t="shared" si="5"/>
        <v>0.38361408882082693</v>
      </c>
      <c r="O11" s="1">
        <f t="shared" si="5"/>
        <v>0.38361408882082682</v>
      </c>
      <c r="P11" s="1">
        <f t="shared" si="5"/>
        <v>0.38361408882082682</v>
      </c>
      <c r="Q11" s="1">
        <f t="shared" si="5"/>
        <v>0.38361408882082682</v>
      </c>
      <c r="R11" s="1">
        <f t="shared" si="5"/>
        <v>0.38361408882082704</v>
      </c>
      <c r="S11" s="1">
        <f t="shared" si="5"/>
        <v>0.38361408882082704</v>
      </c>
      <c r="T11" s="1">
        <f t="shared" si="5"/>
        <v>0.38361408882082704</v>
      </c>
    </row>
    <row r="12" spans="1:22">
      <c r="A12" s="52">
        <v>0.46830431265698835</v>
      </c>
      <c r="B12" s="1">
        <f t="shared" si="0"/>
        <v>0.99039549123935822</v>
      </c>
      <c r="C12" s="1">
        <f t="shared" si="3"/>
        <v>1.374009580060185</v>
      </c>
      <c r="D12" s="1">
        <f t="shared" si="1"/>
        <v>1.6297523059407366</v>
      </c>
      <c r="E12" s="1">
        <f t="shared" si="2"/>
        <v>2.5887875279928036</v>
      </c>
      <c r="G12" s="60" t="s">
        <v>130</v>
      </c>
      <c r="H12" s="1">
        <f t="shared" ref="H12:T12" si="6">H8-H7</f>
        <v>0.25574272588055136</v>
      </c>
      <c r="I12" s="1">
        <f t="shared" si="6"/>
        <v>0.25574272588055136</v>
      </c>
      <c r="J12" s="1">
        <f t="shared" si="6"/>
        <v>0.25574272588055136</v>
      </c>
      <c r="K12" s="1">
        <f t="shared" si="6"/>
        <v>0.25574272588055136</v>
      </c>
      <c r="L12" s="1">
        <f t="shared" si="6"/>
        <v>0.25574272588055114</v>
      </c>
      <c r="M12" s="1">
        <f t="shared" si="6"/>
        <v>0.25574272588055114</v>
      </c>
      <c r="N12" s="1">
        <f t="shared" si="6"/>
        <v>0.25574272588055136</v>
      </c>
      <c r="O12" s="1">
        <f t="shared" si="6"/>
        <v>0.25574272588055158</v>
      </c>
      <c r="P12" s="1">
        <f t="shared" si="6"/>
        <v>0.25574272588055158</v>
      </c>
      <c r="Q12" s="1">
        <f t="shared" si="6"/>
        <v>0.25574272588055158</v>
      </c>
      <c r="R12" s="1">
        <f t="shared" si="6"/>
        <v>0.25574272588055114</v>
      </c>
      <c r="S12" s="1">
        <f t="shared" si="6"/>
        <v>0.25574272588055114</v>
      </c>
      <c r="T12" s="1">
        <f t="shared" si="6"/>
        <v>0.25574272588055114</v>
      </c>
    </row>
    <row r="13" spans="1:22">
      <c r="A13" s="52">
        <v>0.5108774319894418</v>
      </c>
      <c r="B13" s="1">
        <f t="shared" si="0"/>
        <v>1.0804314449883907</v>
      </c>
      <c r="C13" s="1">
        <f>((($B$24+$D$24+$C$24)*A13)+0.06*($E$24-$E$27))/$B$30</f>
        <v>1.4640455338092175</v>
      </c>
      <c r="D13" s="1">
        <f t="shared" si="1"/>
        <v>1.7197882596897691</v>
      </c>
      <c r="E13" s="1">
        <f t="shared" si="2"/>
        <v>2.6788234817418362</v>
      </c>
      <c r="G13" s="60" t="s">
        <v>131</v>
      </c>
      <c r="H13" s="1">
        <f t="shared" ref="H13:T13" si="7">H9-H8</f>
        <v>0.95903522205206726</v>
      </c>
      <c r="I13" s="1">
        <f t="shared" si="7"/>
        <v>0.95903522205206748</v>
      </c>
      <c r="J13" s="1">
        <f t="shared" si="7"/>
        <v>0.95903522205206748</v>
      </c>
      <c r="K13" s="1">
        <f t="shared" si="7"/>
        <v>0.95903522205206748</v>
      </c>
      <c r="L13" s="1">
        <f t="shared" si="7"/>
        <v>0.95903522205206748</v>
      </c>
      <c r="M13" s="1">
        <f t="shared" si="7"/>
        <v>0.95903522205206748</v>
      </c>
      <c r="N13" s="1">
        <f t="shared" si="7"/>
        <v>0.95903522205206726</v>
      </c>
      <c r="O13" s="1">
        <f t="shared" si="7"/>
        <v>0.95903522205206704</v>
      </c>
      <c r="P13" s="1">
        <f t="shared" si="7"/>
        <v>0.95903522205206704</v>
      </c>
      <c r="Q13" s="1">
        <f t="shared" si="7"/>
        <v>0.95903522205206704</v>
      </c>
      <c r="R13" s="1">
        <f t="shared" si="7"/>
        <v>0.95903522205206748</v>
      </c>
      <c r="S13" s="1">
        <f t="shared" si="7"/>
        <v>0.95903522205206748</v>
      </c>
      <c r="T13" s="1">
        <f t="shared" si="7"/>
        <v>0.95903522205206748</v>
      </c>
    </row>
    <row r="14" spans="1:22">
      <c r="A14" s="52">
        <v>0.55345055132189536</v>
      </c>
      <c r="B14" s="1">
        <f t="shared" si="0"/>
        <v>1.1704673987374234</v>
      </c>
      <c r="C14" s="1">
        <f t="shared" si="3"/>
        <v>1.5540814875582505</v>
      </c>
      <c r="D14" s="1">
        <f t="shared" si="1"/>
        <v>1.8098242134388016</v>
      </c>
      <c r="E14" s="1">
        <f t="shared" si="2"/>
        <v>2.7688594354908691</v>
      </c>
    </row>
    <row r="15" spans="1:22">
      <c r="A15" s="52">
        <v>0.5960236706543488</v>
      </c>
      <c r="B15" s="1">
        <f t="shared" si="0"/>
        <v>1.260503352486456</v>
      </c>
      <c r="C15" s="1">
        <f t="shared" si="3"/>
        <v>1.644117441307283</v>
      </c>
      <c r="D15" s="1">
        <f t="shared" si="1"/>
        <v>1.8998601671878341</v>
      </c>
      <c r="E15" s="1">
        <f t="shared" si="2"/>
        <v>2.8588953892399016</v>
      </c>
    </row>
    <row r="16" spans="1:22">
      <c r="A16" s="52">
        <v>0.63859678998680236</v>
      </c>
      <c r="B16" s="1">
        <f t="shared" si="0"/>
        <v>1.3505393062354885</v>
      </c>
      <c r="C16" s="1">
        <f t="shared" si="3"/>
        <v>1.7341533950563155</v>
      </c>
      <c r="D16" s="1">
        <f t="shared" si="1"/>
        <v>1.9898961209368666</v>
      </c>
      <c r="E16" s="1">
        <f t="shared" si="2"/>
        <v>2.9489313429889341</v>
      </c>
    </row>
    <row r="22" spans="1:11" ht="18.600000000000001" thickBot="1">
      <c r="J22" s="61"/>
      <c r="K22" s="61"/>
    </row>
    <row r="23" spans="1:11" ht="72.599999999999994" thickBot="1">
      <c r="A23" s="54" t="s">
        <v>52</v>
      </c>
      <c r="B23" s="55" t="s">
        <v>133</v>
      </c>
      <c r="C23" s="55" t="s">
        <v>132</v>
      </c>
      <c r="D23" s="55" t="s">
        <v>134</v>
      </c>
      <c r="E23" s="55" t="s">
        <v>71</v>
      </c>
      <c r="F23" s="55" t="s">
        <v>72</v>
      </c>
      <c r="G23" s="55" t="s">
        <v>73</v>
      </c>
      <c r="H23" s="54" t="s">
        <v>74</v>
      </c>
    </row>
    <row r="24" spans="1:11" ht="36.6" thickBot="1">
      <c r="A24" s="56" t="s">
        <v>75</v>
      </c>
      <c r="B24" s="57">
        <v>2.74</v>
      </c>
      <c r="C24" s="57">
        <v>21</v>
      </c>
      <c r="D24" s="57">
        <v>31.5</v>
      </c>
      <c r="E24" s="57">
        <v>174</v>
      </c>
      <c r="F24" s="58">
        <v>185</v>
      </c>
      <c r="G24" s="58">
        <v>4.5599999999999996</v>
      </c>
      <c r="H24" s="62">
        <v>30.4</v>
      </c>
    </row>
    <row r="25" spans="1:11" ht="54.6" thickBot="1">
      <c r="A25" s="81" t="s">
        <v>60</v>
      </c>
      <c r="B25" s="82">
        <v>2.37</v>
      </c>
      <c r="C25" s="82">
        <v>8</v>
      </c>
      <c r="D25" s="82">
        <v>15.75</v>
      </c>
      <c r="E25" s="82">
        <v>65</v>
      </c>
      <c r="F25" s="82">
        <v>183</v>
      </c>
      <c r="G25" s="58">
        <v>15.259999999999996</v>
      </c>
      <c r="H25" s="62">
        <v>18.529999999999998</v>
      </c>
    </row>
    <row r="26" spans="1:11" ht="78" customHeight="1" thickBot="1">
      <c r="A26" s="81" t="s">
        <v>67</v>
      </c>
      <c r="B26" s="82">
        <v>2.37</v>
      </c>
      <c r="C26" s="82">
        <v>8</v>
      </c>
      <c r="D26" s="82">
        <v>15.75</v>
      </c>
      <c r="E26" s="82">
        <v>39</v>
      </c>
      <c r="F26" s="82">
        <v>78</v>
      </c>
      <c r="G26" s="58">
        <v>30.519999999999992</v>
      </c>
      <c r="H26" s="62">
        <v>26.159999999999997</v>
      </c>
    </row>
    <row r="27" spans="1:11" ht="54.6" thickBot="1">
      <c r="A27" s="81" t="s">
        <v>68</v>
      </c>
      <c r="B27" s="82">
        <v>2.37</v>
      </c>
      <c r="C27" s="82">
        <v>8</v>
      </c>
      <c r="D27" s="82">
        <v>15.75</v>
      </c>
      <c r="E27" s="82">
        <v>7</v>
      </c>
      <c r="F27" s="82">
        <v>12</v>
      </c>
      <c r="G27" s="58">
        <v>13.079999999999998</v>
      </c>
      <c r="H27" s="62">
        <v>23.98</v>
      </c>
    </row>
    <row r="30" spans="1:11" ht="54">
      <c r="A30" s="235" t="s">
        <v>196</v>
      </c>
      <c r="B30" s="1">
        <f>B27+D27+C27</f>
        <v>26.12</v>
      </c>
    </row>
  </sheetData>
  <mergeCells count="1">
    <mergeCell ref="A1:B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1189-2DE1-408B-A4C5-C7602E817D9C}">
  <dimension ref="A1:AH34"/>
  <sheetViews>
    <sheetView zoomScale="45" zoomScaleNormal="83" workbookViewId="0">
      <selection activeCell="J35" sqref="J35"/>
    </sheetView>
  </sheetViews>
  <sheetFormatPr defaultRowHeight="14.4"/>
  <cols>
    <col min="1" max="1" width="22.6640625" customWidth="1"/>
    <col min="2" max="2" width="9.33203125" customWidth="1"/>
    <col min="3" max="3" width="12.88671875" customWidth="1"/>
    <col min="4" max="4" width="11.6640625" customWidth="1"/>
    <col min="5" max="5" width="11.88671875" customWidth="1"/>
  </cols>
  <sheetData>
    <row r="1" spans="1:34" ht="50.4" customHeight="1" thickBot="1">
      <c r="A1" s="179" t="s">
        <v>207</v>
      </c>
      <c r="B1" s="180"/>
    </row>
    <row r="2" spans="1:34" ht="90.6" thickBot="1">
      <c r="A2" s="54" t="s">
        <v>52</v>
      </c>
      <c r="B2" s="55" t="s">
        <v>69</v>
      </c>
      <c r="C2" s="55" t="s">
        <v>132</v>
      </c>
      <c r="D2" s="55" t="s">
        <v>70</v>
      </c>
      <c r="E2" s="55" t="s">
        <v>71</v>
      </c>
      <c r="F2" s="55" t="s">
        <v>72</v>
      </c>
      <c r="G2" s="55" t="s">
        <v>73</v>
      </c>
      <c r="H2" s="54" t="s">
        <v>74</v>
      </c>
    </row>
    <row r="3" spans="1:34" ht="48" customHeight="1" thickBot="1">
      <c r="A3" s="56" t="s">
        <v>75</v>
      </c>
      <c r="B3" s="57">
        <v>2.74</v>
      </c>
      <c r="C3" s="57">
        <v>21</v>
      </c>
      <c r="D3" s="57">
        <v>31.5</v>
      </c>
      <c r="E3" s="57">
        <v>174</v>
      </c>
      <c r="F3" s="58">
        <v>185</v>
      </c>
      <c r="G3" s="58">
        <v>4.5599999999999996</v>
      </c>
      <c r="H3" s="62">
        <v>30.4</v>
      </c>
    </row>
    <row r="4" spans="1:34" ht="34.5" customHeight="1" thickBot="1">
      <c r="A4" s="56" t="s">
        <v>60</v>
      </c>
      <c r="B4" s="57">
        <v>2.37</v>
      </c>
      <c r="C4" s="82">
        <v>8</v>
      </c>
      <c r="D4" s="57">
        <v>15.75</v>
      </c>
      <c r="E4" s="82">
        <v>65</v>
      </c>
      <c r="F4" s="82">
        <v>183</v>
      </c>
      <c r="G4" s="58">
        <v>15.259999999999996</v>
      </c>
      <c r="H4" s="62">
        <v>18.529999999999998</v>
      </c>
      <c r="AG4" s="53"/>
      <c r="AH4" s="53"/>
    </row>
    <row r="5" spans="1:34" ht="18.75" customHeight="1" thickBot="1">
      <c r="A5" s="56" t="s">
        <v>67</v>
      </c>
      <c r="B5" s="57">
        <v>2.37</v>
      </c>
      <c r="C5" s="82">
        <v>8</v>
      </c>
      <c r="D5" s="57">
        <v>15.75</v>
      </c>
      <c r="E5" s="82">
        <v>39</v>
      </c>
      <c r="F5" s="82">
        <v>78</v>
      </c>
      <c r="G5" s="58">
        <v>30.519999999999992</v>
      </c>
      <c r="H5" s="62">
        <v>26.159999999999997</v>
      </c>
      <c r="AG5" s="59"/>
      <c r="AH5" s="59"/>
    </row>
    <row r="6" spans="1:34" ht="18.600000000000001" thickBot="1">
      <c r="A6" s="56" t="s">
        <v>68</v>
      </c>
      <c r="B6" s="57">
        <v>2.37</v>
      </c>
      <c r="C6" s="82">
        <v>8</v>
      </c>
      <c r="D6" s="57">
        <v>15.75</v>
      </c>
      <c r="E6" s="82">
        <v>7</v>
      </c>
      <c r="F6" s="82">
        <v>12</v>
      </c>
      <c r="G6" s="58">
        <v>13.079999999999998</v>
      </c>
      <c r="H6" s="62">
        <v>23.98</v>
      </c>
    </row>
    <row r="9" spans="1:34">
      <c r="A9" s="60" t="s">
        <v>58</v>
      </c>
      <c r="B9" s="60"/>
      <c r="C9" s="60"/>
      <c r="D9" s="60"/>
      <c r="E9" s="60"/>
      <c r="F9" s="60"/>
    </row>
    <row r="10" spans="1:34">
      <c r="A10" s="60" t="s">
        <v>59</v>
      </c>
      <c r="B10" s="60" t="s">
        <v>61</v>
      </c>
      <c r="C10" s="60" t="s">
        <v>62</v>
      </c>
      <c r="D10" s="60" t="s">
        <v>63</v>
      </c>
      <c r="E10" s="60" t="s">
        <v>64</v>
      </c>
      <c r="F10" s="60" t="s">
        <v>65</v>
      </c>
    </row>
    <row r="11" spans="1:34">
      <c r="A11" s="65">
        <v>0.12771935799736045</v>
      </c>
      <c r="B11" s="66">
        <f>($B$3+$D$3+$C$3)*A11/26.12</f>
        <v>0.27010786124709768</v>
      </c>
      <c r="C11" s="66">
        <f>(($B$3+$D$3+$C$3)*A11/26.12)+0.6</f>
        <v>0.8701078612470976</v>
      </c>
      <c r="D11" s="66">
        <f>(($B$3+$D$3+$C$3)*A11/26.12)+0.75</f>
        <v>1.0201078612470977</v>
      </c>
      <c r="E11" s="66">
        <f>(($B$3+$D$3+$C$3)*A11/26.12)+1.002</f>
        <v>1.2721078612470977</v>
      </c>
      <c r="F11" s="66">
        <f>(($B$3+$D$3+$C$3)*A11/26.12)+3</f>
        <v>3.2701078612470975</v>
      </c>
    </row>
    <row r="12" spans="1:34">
      <c r="A12" s="65">
        <v>0.17029247732981395</v>
      </c>
      <c r="B12" s="66">
        <f t="shared" ref="B12:B23" si="0">($B$3+$D$3+$C$3)*A12/26.12</f>
        <v>0.36014381499613024</v>
      </c>
      <c r="C12" s="66">
        <f t="shared" ref="C12:C23" si="1">(($B$3+$D$3+$C$3)*A12/26.12)+0.6</f>
        <v>0.96014381499613022</v>
      </c>
      <c r="D12" s="66">
        <f t="shared" ref="D12:D23" si="2">(($B$3+$D$3+$C$3)*A12/26.12)+0.75</f>
        <v>1.1101438149961302</v>
      </c>
      <c r="E12" s="66">
        <f t="shared" ref="E12:E23" si="3">(($B$3+$D$3+$C$3)*A12/26.12)+1.002</f>
        <v>1.3621438149961302</v>
      </c>
      <c r="F12" s="66">
        <f t="shared" ref="F12:F23" si="4">(($B$3+$D$3+$C$3)*A12/26.12)+3</f>
        <v>3.36014381499613</v>
      </c>
    </row>
    <row r="13" spans="1:34">
      <c r="A13" s="65">
        <v>0.21286559666226743</v>
      </c>
      <c r="B13" s="66">
        <f t="shared" si="0"/>
        <v>0.45017976874516286</v>
      </c>
      <c r="C13" s="66">
        <f t="shared" si="1"/>
        <v>1.0501797687451628</v>
      </c>
      <c r="D13" s="66">
        <f t="shared" si="2"/>
        <v>1.200179768745163</v>
      </c>
      <c r="E13" s="66">
        <f t="shared" si="3"/>
        <v>1.4521797687451627</v>
      </c>
      <c r="F13" s="66">
        <f t="shared" si="4"/>
        <v>3.450179768745163</v>
      </c>
    </row>
    <row r="14" spans="1:34">
      <c r="A14" s="65">
        <v>0.2554387159947209</v>
      </c>
      <c r="B14" s="66">
        <f t="shared" si="0"/>
        <v>0.54021572249419536</v>
      </c>
      <c r="C14" s="66">
        <f t="shared" si="1"/>
        <v>1.1402157224941953</v>
      </c>
      <c r="D14" s="66">
        <f t="shared" si="2"/>
        <v>1.2902157224941955</v>
      </c>
      <c r="E14" s="66">
        <f t="shared" si="3"/>
        <v>1.5422157224941953</v>
      </c>
      <c r="F14" s="66">
        <f t="shared" si="4"/>
        <v>3.5402157224941955</v>
      </c>
    </row>
    <row r="15" spans="1:34">
      <c r="A15" s="65">
        <v>0.2980118353271744</v>
      </c>
      <c r="B15" s="66">
        <f t="shared" si="0"/>
        <v>0.63025167624322798</v>
      </c>
      <c r="C15" s="66">
        <f t="shared" si="1"/>
        <v>1.2302516762432281</v>
      </c>
      <c r="D15" s="66">
        <f t="shared" si="2"/>
        <v>1.380251676243228</v>
      </c>
      <c r="E15" s="66">
        <f t="shared" si="3"/>
        <v>1.632251676243228</v>
      </c>
      <c r="F15" s="66">
        <f t="shared" si="4"/>
        <v>3.630251676243228</v>
      </c>
    </row>
    <row r="16" spans="1:34">
      <c r="A16" s="65">
        <v>0.3405849546596279</v>
      </c>
      <c r="B16" s="66">
        <f t="shared" si="0"/>
        <v>0.72028762999226048</v>
      </c>
      <c r="C16" s="66">
        <f t="shared" si="1"/>
        <v>1.3202876299922606</v>
      </c>
      <c r="D16" s="66">
        <f t="shared" si="2"/>
        <v>1.4702876299922605</v>
      </c>
      <c r="E16" s="66">
        <f t="shared" si="3"/>
        <v>1.7222876299922605</v>
      </c>
      <c r="F16" s="66">
        <f t="shared" si="4"/>
        <v>3.7202876299922605</v>
      </c>
    </row>
    <row r="17" spans="1:14">
      <c r="A17" s="65">
        <v>0.3831580739920814</v>
      </c>
      <c r="B17" s="66">
        <f t="shared" si="0"/>
        <v>0.8103235837412931</v>
      </c>
      <c r="C17" s="66">
        <f t="shared" si="1"/>
        <v>1.4103235837412931</v>
      </c>
      <c r="D17" s="66">
        <f t="shared" si="2"/>
        <v>1.560323583741293</v>
      </c>
      <c r="E17" s="66">
        <f t="shared" si="3"/>
        <v>1.8123235837412932</v>
      </c>
      <c r="F17" s="66">
        <f t="shared" si="4"/>
        <v>3.810323583741293</v>
      </c>
    </row>
    <row r="18" spans="1:14">
      <c r="A18" s="65">
        <v>0.42573119332453485</v>
      </c>
      <c r="B18" s="66">
        <f t="shared" si="0"/>
        <v>0.90035953749032571</v>
      </c>
      <c r="C18" s="66">
        <f t="shared" si="1"/>
        <v>1.5003595374903256</v>
      </c>
      <c r="D18" s="66">
        <f t="shared" si="2"/>
        <v>1.6503595374903257</v>
      </c>
      <c r="E18" s="66">
        <f t="shared" si="3"/>
        <v>1.9023595374903257</v>
      </c>
      <c r="F18" s="66">
        <f t="shared" si="4"/>
        <v>3.9003595374903259</v>
      </c>
    </row>
    <row r="19" spans="1:14">
      <c r="A19" s="65">
        <v>0.46830431265698835</v>
      </c>
      <c r="B19" s="66">
        <f t="shared" si="0"/>
        <v>0.99039549123935822</v>
      </c>
      <c r="C19" s="66">
        <f t="shared" si="1"/>
        <v>1.5903954912393581</v>
      </c>
      <c r="D19" s="66">
        <f t="shared" si="2"/>
        <v>1.7403954912393582</v>
      </c>
      <c r="E19" s="66">
        <f t="shared" si="3"/>
        <v>1.9923954912393582</v>
      </c>
      <c r="F19" s="66">
        <f t="shared" si="4"/>
        <v>3.990395491239358</v>
      </c>
    </row>
    <row r="20" spans="1:14">
      <c r="A20" s="65">
        <v>0.5108774319894418</v>
      </c>
      <c r="B20" s="66">
        <f t="shared" si="0"/>
        <v>1.0804314449883907</v>
      </c>
      <c r="C20" s="66">
        <f t="shared" si="1"/>
        <v>1.6804314449883906</v>
      </c>
      <c r="D20" s="66">
        <f t="shared" si="2"/>
        <v>1.8304314449883907</v>
      </c>
      <c r="E20" s="66">
        <f t="shared" si="3"/>
        <v>2.0824314449883907</v>
      </c>
      <c r="F20" s="66">
        <f t="shared" si="4"/>
        <v>4.0804314449883909</v>
      </c>
    </row>
    <row r="21" spans="1:14" ht="18">
      <c r="A21" s="65">
        <v>0.55345055132189536</v>
      </c>
      <c r="B21" s="66">
        <f t="shared" si="0"/>
        <v>1.1704673987374234</v>
      </c>
      <c r="C21" s="66">
        <f t="shared" si="1"/>
        <v>1.7704673987374235</v>
      </c>
      <c r="D21" s="66">
        <f t="shared" si="2"/>
        <v>1.9204673987374234</v>
      </c>
      <c r="E21" s="66">
        <f t="shared" si="3"/>
        <v>2.1724673987374237</v>
      </c>
      <c r="F21" s="66">
        <f t="shared" si="4"/>
        <v>4.1704673987374239</v>
      </c>
      <c r="H21" s="61"/>
      <c r="I21" s="61"/>
    </row>
    <row r="22" spans="1:14">
      <c r="A22" s="65">
        <v>0.5960236706543488</v>
      </c>
      <c r="B22" s="66">
        <f t="shared" si="0"/>
        <v>1.260503352486456</v>
      </c>
      <c r="C22" s="66">
        <f t="shared" si="1"/>
        <v>1.860503352486456</v>
      </c>
      <c r="D22" s="66">
        <f t="shared" si="2"/>
        <v>2.010503352486456</v>
      </c>
      <c r="E22" s="66">
        <f t="shared" si="3"/>
        <v>2.2625033524864557</v>
      </c>
      <c r="F22" s="66">
        <f t="shared" si="4"/>
        <v>4.260503352486456</v>
      </c>
    </row>
    <row r="23" spans="1:14">
      <c r="A23" s="65">
        <v>0.63859678998680236</v>
      </c>
      <c r="B23" s="66">
        <f t="shared" si="0"/>
        <v>1.3505393062354885</v>
      </c>
      <c r="C23" s="66">
        <f t="shared" si="1"/>
        <v>1.9505393062354885</v>
      </c>
      <c r="D23" s="66">
        <f t="shared" si="2"/>
        <v>2.1005393062354885</v>
      </c>
      <c r="E23" s="66">
        <f t="shared" si="3"/>
        <v>2.3525393062354887</v>
      </c>
      <c r="F23" s="66">
        <f t="shared" si="4"/>
        <v>4.350539306235488</v>
      </c>
    </row>
    <row r="26" spans="1:14">
      <c r="A26" s="1" t="s">
        <v>55</v>
      </c>
      <c r="B26" s="1">
        <v>0</v>
      </c>
      <c r="C26" s="63">
        <v>15.001500150015003</v>
      </c>
      <c r="D26" s="63">
        <v>30.003000300030006</v>
      </c>
      <c r="E26" s="63">
        <v>45.004500450045008</v>
      </c>
      <c r="F26" s="63">
        <v>60.006000600060013</v>
      </c>
      <c r="G26" s="63">
        <v>75.00750075007501</v>
      </c>
      <c r="H26" s="63">
        <v>90.009000900090015</v>
      </c>
      <c r="I26" s="63">
        <v>105.01050105010502</v>
      </c>
      <c r="J26" s="63">
        <v>120.01200120012003</v>
      </c>
      <c r="K26" s="63">
        <v>135.01350135013502</v>
      </c>
      <c r="L26" s="63">
        <v>150.01500150015002</v>
      </c>
      <c r="M26" s="1"/>
      <c r="N26" s="1"/>
    </row>
    <row r="27" spans="1:14">
      <c r="A27" s="1" t="s">
        <v>56</v>
      </c>
      <c r="B27" s="50">
        <v>0.88</v>
      </c>
      <c r="C27" s="50">
        <v>1.17</v>
      </c>
      <c r="D27" s="50">
        <v>1.47</v>
      </c>
      <c r="E27" s="50">
        <v>1.76</v>
      </c>
      <c r="F27" s="50">
        <v>2.0499999999999998</v>
      </c>
      <c r="G27" s="50">
        <v>2.34</v>
      </c>
      <c r="H27" s="50">
        <v>2.64</v>
      </c>
      <c r="I27" s="50">
        <v>2.93</v>
      </c>
      <c r="J27" s="50">
        <v>3.22</v>
      </c>
      <c r="K27" s="50">
        <v>3.52</v>
      </c>
      <c r="L27" s="50">
        <v>3.81</v>
      </c>
      <c r="M27" s="50">
        <v>4.0999999999999996</v>
      </c>
      <c r="N27" s="50">
        <v>4.4000000000000004</v>
      </c>
    </row>
    <row r="28" spans="1:14">
      <c r="A28" s="1" t="s">
        <v>57</v>
      </c>
      <c r="B28" s="52">
        <v>3</v>
      </c>
      <c r="C28" s="52">
        <v>4</v>
      </c>
      <c r="D28" s="52">
        <v>5</v>
      </c>
      <c r="E28" s="52">
        <v>6</v>
      </c>
      <c r="F28" s="52">
        <v>7</v>
      </c>
      <c r="G28" s="52">
        <v>8</v>
      </c>
      <c r="H28" s="52">
        <v>9</v>
      </c>
      <c r="I28" s="52">
        <v>10</v>
      </c>
      <c r="J28" s="52">
        <v>11</v>
      </c>
      <c r="K28" s="52">
        <v>12</v>
      </c>
      <c r="L28" s="52">
        <v>13</v>
      </c>
      <c r="M28" s="52">
        <v>14</v>
      </c>
      <c r="N28" s="52">
        <v>15</v>
      </c>
    </row>
    <row r="29" spans="1:14">
      <c r="A29" s="60" t="s">
        <v>59</v>
      </c>
      <c r="B29" s="52">
        <v>0.12771935799736045</v>
      </c>
      <c r="C29" s="52">
        <v>0.17029247732981395</v>
      </c>
      <c r="D29" s="52">
        <v>0.21286559666226743</v>
      </c>
      <c r="E29" s="52">
        <v>0.2554387159947209</v>
      </c>
      <c r="F29" s="52">
        <v>0.2980118353271744</v>
      </c>
      <c r="G29" s="52">
        <v>0.3405849546596279</v>
      </c>
      <c r="H29" s="52">
        <v>0.3831580739920814</v>
      </c>
      <c r="I29" s="52">
        <v>0.42573119332453485</v>
      </c>
      <c r="J29" s="52">
        <v>0.46830431265698835</v>
      </c>
      <c r="K29" s="52">
        <v>0.5108774319894418</v>
      </c>
      <c r="L29" s="52">
        <v>0.55345055132189536</v>
      </c>
      <c r="M29" s="52">
        <v>0.5960236706543488</v>
      </c>
      <c r="N29" s="52">
        <v>0.63859678998680236</v>
      </c>
    </row>
    <row r="30" spans="1:14">
      <c r="A30" s="60" t="s">
        <v>61</v>
      </c>
      <c r="B30" s="1">
        <v>0.27010786124709768</v>
      </c>
      <c r="C30" s="1">
        <v>0.36014381499613024</v>
      </c>
      <c r="D30" s="1">
        <v>0.45017976874516286</v>
      </c>
      <c r="E30" s="1">
        <v>0.54021572249419536</v>
      </c>
      <c r="F30" s="1">
        <v>0.63025167624322798</v>
      </c>
      <c r="G30" s="1">
        <v>0.72028762999226048</v>
      </c>
      <c r="H30" s="1">
        <v>0.8103235837412931</v>
      </c>
      <c r="I30" s="1">
        <v>0.90035953749032571</v>
      </c>
      <c r="J30" s="1">
        <v>0.99039549123935822</v>
      </c>
      <c r="K30" s="1">
        <v>1.0804314449883907</v>
      </c>
      <c r="L30" s="1">
        <v>1.1704673987374234</v>
      </c>
      <c r="M30" s="1">
        <v>1.260503352486456</v>
      </c>
      <c r="N30" s="1">
        <v>1.3505393062354885</v>
      </c>
    </row>
    <row r="31" spans="1:14">
      <c r="A31" s="60" t="s">
        <v>62</v>
      </c>
      <c r="B31" s="1">
        <v>0.8701078612470976</v>
      </c>
      <c r="C31" s="1">
        <v>0.96014381499613022</v>
      </c>
      <c r="D31" s="1">
        <v>1.0501797687451628</v>
      </c>
      <c r="E31" s="1">
        <v>1.1402157224941953</v>
      </c>
      <c r="F31" s="1">
        <v>1.2302516762432281</v>
      </c>
      <c r="G31" s="1">
        <v>1.3202876299922606</v>
      </c>
      <c r="H31" s="1">
        <v>1.4103235837412931</v>
      </c>
      <c r="I31" s="1">
        <v>1.5003595374903256</v>
      </c>
      <c r="J31" s="1">
        <v>1.5903954912393581</v>
      </c>
      <c r="K31" s="1">
        <v>1.6804314449883906</v>
      </c>
      <c r="L31" s="1">
        <v>1.7704673987374235</v>
      </c>
      <c r="M31" s="1">
        <v>1.860503352486456</v>
      </c>
      <c r="N31" s="1">
        <v>1.9505393062354885</v>
      </c>
    </row>
    <row r="32" spans="1:14">
      <c r="A32" s="60" t="s">
        <v>63</v>
      </c>
      <c r="B32" s="1">
        <v>1.0201078612470977</v>
      </c>
      <c r="C32" s="1">
        <v>1.1101438149961302</v>
      </c>
      <c r="D32" s="1">
        <v>1.200179768745163</v>
      </c>
      <c r="E32" s="1">
        <v>1.2902157224941955</v>
      </c>
      <c r="F32" s="1">
        <v>1.380251676243228</v>
      </c>
      <c r="G32" s="1">
        <v>1.4702876299922605</v>
      </c>
      <c r="H32" s="1">
        <v>1.560323583741293</v>
      </c>
      <c r="I32" s="1">
        <v>1.6503595374903257</v>
      </c>
      <c r="J32" s="1">
        <v>1.7403954912393582</v>
      </c>
      <c r="K32" s="1">
        <v>1.8304314449883907</v>
      </c>
      <c r="L32" s="1">
        <v>1.9204673987374234</v>
      </c>
      <c r="M32" s="1">
        <v>2.010503352486456</v>
      </c>
      <c r="N32" s="1">
        <v>2.1005393062354885</v>
      </c>
    </row>
    <row r="33" spans="1:14">
      <c r="A33" s="60" t="s">
        <v>64</v>
      </c>
      <c r="B33" s="1">
        <v>1.2721078612470977</v>
      </c>
      <c r="C33" s="1">
        <v>1.3621438149961302</v>
      </c>
      <c r="D33" s="1">
        <v>1.4521797687451627</v>
      </c>
      <c r="E33" s="1">
        <v>1.5422157224941953</v>
      </c>
      <c r="F33" s="1">
        <v>1.632251676243228</v>
      </c>
      <c r="G33" s="1">
        <v>1.7222876299922605</v>
      </c>
      <c r="H33" s="1">
        <v>1.8123235837412932</v>
      </c>
      <c r="I33" s="1">
        <v>1.9023595374903257</v>
      </c>
      <c r="J33" s="1">
        <v>1.9923954912393582</v>
      </c>
      <c r="K33" s="1">
        <v>2.0824314449883907</v>
      </c>
      <c r="L33" s="1">
        <v>2.1724673987374237</v>
      </c>
      <c r="M33" s="1">
        <v>2.2625033524864557</v>
      </c>
      <c r="N33" s="1">
        <v>2.3525393062354887</v>
      </c>
    </row>
    <row r="34" spans="1:14">
      <c r="A34" s="60" t="s">
        <v>65</v>
      </c>
      <c r="B34" s="1">
        <v>3.2701078612470975</v>
      </c>
      <c r="C34" s="1">
        <v>3.36014381499613</v>
      </c>
      <c r="D34" s="1">
        <v>3.450179768745163</v>
      </c>
      <c r="E34" s="1">
        <v>3.5402157224941955</v>
      </c>
      <c r="F34" s="1">
        <v>3.630251676243228</v>
      </c>
      <c r="G34" s="1">
        <v>3.7202876299922605</v>
      </c>
      <c r="H34" s="1">
        <v>3.810323583741293</v>
      </c>
      <c r="I34" s="1">
        <v>3.9003595374903259</v>
      </c>
      <c r="J34" s="1">
        <v>3.990395491239358</v>
      </c>
      <c r="K34" s="1">
        <v>4.0804314449883909</v>
      </c>
      <c r="L34" s="1">
        <v>4.1704673987374239</v>
      </c>
      <c r="M34" s="1">
        <v>4.260503352486456</v>
      </c>
      <c r="N34" s="1">
        <v>4.350539306235488</v>
      </c>
    </row>
  </sheetData>
  <mergeCells count="1">
    <mergeCell ref="A1:B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23C87-A145-4C18-A595-3842A066C0BF}">
  <dimension ref="A1:K3"/>
  <sheetViews>
    <sheetView zoomScale="69" workbookViewId="0">
      <selection activeCell="P10" sqref="P10"/>
    </sheetView>
  </sheetViews>
  <sheetFormatPr defaultRowHeight="13.2"/>
  <cols>
    <col min="1" max="1" width="8.88671875" style="53"/>
    <col min="2" max="2" width="27.77734375" style="53" customWidth="1"/>
    <col min="3" max="16384" width="8.88671875" style="53"/>
  </cols>
  <sheetData>
    <row r="1" spans="1:11" ht="53.4" customHeight="1">
      <c r="A1" s="179" t="s">
        <v>289</v>
      </c>
      <c r="B1" s="180"/>
    </row>
    <row r="2" spans="1:11">
      <c r="A2" s="264" t="s">
        <v>302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 ht="17.399999999999999">
      <c r="B3" s="237" t="s">
        <v>212</v>
      </c>
    </row>
  </sheetData>
  <mergeCells count="2">
    <mergeCell ref="A1:B1"/>
    <mergeCell ref="A2:K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2077-F6BF-49FE-9E9E-621E005E688C}">
  <dimension ref="A1:K3"/>
  <sheetViews>
    <sheetView zoomScale="78" workbookViewId="0">
      <selection activeCell="A2" sqref="A2:K2"/>
    </sheetView>
  </sheetViews>
  <sheetFormatPr defaultRowHeight="13.2"/>
  <cols>
    <col min="1" max="1" width="8.88671875" style="53"/>
    <col min="2" max="2" width="23.88671875" style="53" customWidth="1"/>
    <col min="3" max="16384" width="8.88671875" style="53"/>
  </cols>
  <sheetData>
    <row r="1" spans="1:11" ht="45" customHeight="1">
      <c r="A1" s="179" t="s">
        <v>290</v>
      </c>
      <c r="B1" s="180"/>
    </row>
    <row r="2" spans="1:11">
      <c r="A2" s="264" t="s">
        <v>301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 ht="17.399999999999999">
      <c r="B3" s="237" t="s">
        <v>213</v>
      </c>
    </row>
  </sheetData>
  <mergeCells count="2">
    <mergeCell ref="A1:B1"/>
    <mergeCell ref="A2:K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A295C-F458-494B-9A8C-A6D9B7C804E3}">
  <dimension ref="A1:O48"/>
  <sheetViews>
    <sheetView zoomScale="92" zoomScaleNormal="85" workbookViewId="0">
      <selection activeCell="I10" sqref="I10"/>
    </sheetView>
  </sheetViews>
  <sheetFormatPr defaultColWidth="9.109375" defaultRowHeight="13.8"/>
  <cols>
    <col min="1" max="1" width="9.109375" style="239"/>
    <col min="2" max="2" width="14.109375" style="239" customWidth="1"/>
    <col min="3" max="16384" width="9.109375" style="239"/>
  </cols>
  <sheetData>
    <row r="1" spans="1:15" ht="90" customHeight="1">
      <c r="A1" s="179" t="s">
        <v>292</v>
      </c>
      <c r="B1" s="180"/>
    </row>
    <row r="3" spans="1:15">
      <c r="A3" s="238" t="s">
        <v>272</v>
      </c>
      <c r="B3" s="238" t="s">
        <v>273</v>
      </c>
      <c r="C3" s="238" t="s">
        <v>274</v>
      </c>
      <c r="D3" s="238" t="s">
        <v>275</v>
      </c>
      <c r="F3" s="240" t="s">
        <v>58</v>
      </c>
      <c r="G3" s="240"/>
      <c r="H3" s="240"/>
      <c r="I3" s="240"/>
      <c r="J3" s="240"/>
      <c r="K3" s="240"/>
      <c r="L3" s="240"/>
      <c r="M3" s="240"/>
      <c r="N3" s="240"/>
      <c r="O3" s="240"/>
    </row>
    <row r="4" spans="1:15">
      <c r="A4" s="52">
        <v>2016</v>
      </c>
      <c r="B4" s="52">
        <v>0.68774397244546526</v>
      </c>
      <c r="C4" s="52">
        <v>2.3039423076923078</v>
      </c>
      <c r="D4" s="238">
        <f t="shared" ref="D4:D16" si="0">B4*$B$21</f>
        <v>60.177597588978209</v>
      </c>
      <c r="F4" s="255" t="s">
        <v>61</v>
      </c>
      <c r="G4" s="256"/>
      <c r="H4" s="257" t="s">
        <v>62</v>
      </c>
      <c r="I4" s="258"/>
      <c r="J4" s="257" t="s">
        <v>63</v>
      </c>
      <c r="K4" s="258"/>
      <c r="L4" s="257" t="s">
        <v>64</v>
      </c>
      <c r="M4" s="258"/>
      <c r="N4" s="242" t="s">
        <v>65</v>
      </c>
      <c r="O4" s="242"/>
    </row>
    <row r="5" spans="1:15" ht="41.4">
      <c r="A5" s="52">
        <v>2020</v>
      </c>
      <c r="B5" s="52">
        <v>0.76143513203214697</v>
      </c>
      <c r="C5" s="52">
        <v>2.5508076923076928</v>
      </c>
      <c r="D5" s="238">
        <f t="shared" si="0"/>
        <v>66.625574052812865</v>
      </c>
      <c r="F5" s="259" t="s">
        <v>276</v>
      </c>
      <c r="G5" s="259" t="s">
        <v>277</v>
      </c>
      <c r="H5" s="259" t="s">
        <v>278</v>
      </c>
      <c r="I5" s="259" t="s">
        <v>277</v>
      </c>
      <c r="J5" s="259" t="s">
        <v>278</v>
      </c>
      <c r="K5" s="259" t="s">
        <v>277</v>
      </c>
      <c r="L5" s="259" t="s">
        <v>278</v>
      </c>
      <c r="M5" s="259" t="s">
        <v>277</v>
      </c>
      <c r="N5" s="259" t="s">
        <v>278</v>
      </c>
      <c r="O5" s="259" t="s">
        <v>277</v>
      </c>
    </row>
    <row r="6" spans="1:15">
      <c r="A6" s="52">
        <v>2017</v>
      </c>
      <c r="B6" s="52">
        <v>0.79105625717566019</v>
      </c>
      <c r="C6" s="52">
        <v>2.650038461538462</v>
      </c>
      <c r="D6" s="238">
        <f t="shared" si="0"/>
        <v>69.217422502870264</v>
      </c>
      <c r="F6" s="238">
        <v>2.3039423076923078</v>
      </c>
      <c r="G6" s="238">
        <f>F6*$B$21/$B$26</f>
        <v>2.8799278846153848</v>
      </c>
      <c r="H6" s="238">
        <v>2.3039423076923078</v>
      </c>
      <c r="I6" s="238">
        <f>(H6*$B$21/$B$26)+0.6</f>
        <v>3.4799278846153849</v>
      </c>
      <c r="J6" s="238">
        <v>2.3039423076923078</v>
      </c>
      <c r="K6" s="238">
        <f>(J6*$B$21/$B$26)+0.75</f>
        <v>3.6299278846153848</v>
      </c>
      <c r="L6" s="238">
        <v>2.3039423076923078</v>
      </c>
      <c r="M6" s="238">
        <f>(L6*$B$21/$B$26)+1.002</f>
        <v>3.8819278846153846</v>
      </c>
      <c r="N6" s="238">
        <v>2.3039423076923078</v>
      </c>
      <c r="O6" s="238">
        <f>(N6*$B$21/$B$26)+3</f>
        <v>5.8799278846153848</v>
      </c>
    </row>
    <row r="7" spans="1:15">
      <c r="A7" s="52">
        <v>2015</v>
      </c>
      <c r="B7" s="52">
        <v>0.8079506314580942</v>
      </c>
      <c r="C7" s="52">
        <v>2.7066346153846146</v>
      </c>
      <c r="D7" s="238">
        <f t="shared" si="0"/>
        <v>70.695680252583244</v>
      </c>
      <c r="F7" s="238">
        <v>2.503942307692308</v>
      </c>
      <c r="G7" s="238">
        <f t="shared" ref="G7:G21" si="1">F7*$B$21/$B$26</f>
        <v>3.1299278846153848</v>
      </c>
      <c r="H7" s="238">
        <v>2.503942307692308</v>
      </c>
      <c r="I7" s="238">
        <f t="shared" ref="I7:I21" si="2">(H7*$B$21/$B$26)+0.6</f>
        <v>3.7299278846153849</v>
      </c>
      <c r="J7" s="238">
        <v>2.503942307692308</v>
      </c>
      <c r="K7" s="238">
        <f t="shared" ref="K7:K21" si="3">(J7*$B$21/$B$26)+0.75</f>
        <v>3.8799278846153848</v>
      </c>
      <c r="L7" s="238">
        <v>2.503942307692308</v>
      </c>
      <c r="M7" s="238">
        <f t="shared" ref="M7:M21" si="4">(L7*$B$21/$B$26)+1.002</f>
        <v>4.1319278846153846</v>
      </c>
      <c r="N7" s="238">
        <v>2.503942307692308</v>
      </c>
      <c r="O7" s="238">
        <f t="shared" ref="O7:O21" si="5">(N7*$B$21/$B$26)+3</f>
        <v>6.1299278846153848</v>
      </c>
    </row>
    <row r="8" spans="1:15">
      <c r="A8" s="52">
        <v>2010</v>
      </c>
      <c r="B8" s="52">
        <v>0.89300229621125138</v>
      </c>
      <c r="C8" s="52">
        <v>2.9915576923076923</v>
      </c>
      <c r="D8" s="238">
        <f t="shared" si="0"/>
        <v>78.137700918484498</v>
      </c>
      <c r="F8" s="238">
        <v>2.7039423076923081</v>
      </c>
      <c r="G8" s="238">
        <f t="shared" si="1"/>
        <v>3.3799278846153853</v>
      </c>
      <c r="H8" s="238">
        <v>2.7039423076923081</v>
      </c>
      <c r="I8" s="238">
        <f t="shared" si="2"/>
        <v>3.9799278846153854</v>
      </c>
      <c r="J8" s="238">
        <v>2.7039423076923081</v>
      </c>
      <c r="K8" s="238">
        <f t="shared" si="3"/>
        <v>4.1299278846153857</v>
      </c>
      <c r="L8" s="238">
        <v>2.7039423076923081</v>
      </c>
      <c r="M8" s="238">
        <f t="shared" si="4"/>
        <v>4.3819278846153855</v>
      </c>
      <c r="N8" s="238">
        <v>2.7039423076923081</v>
      </c>
      <c r="O8" s="238">
        <f t="shared" si="5"/>
        <v>6.3799278846153857</v>
      </c>
    </row>
    <row r="9" spans="1:15">
      <c r="A9" s="52">
        <v>2019</v>
      </c>
      <c r="B9" s="52">
        <v>0.91218714121699196</v>
      </c>
      <c r="C9" s="52">
        <v>3.0558269230769235</v>
      </c>
      <c r="D9" s="238">
        <f t="shared" si="0"/>
        <v>79.816374856486803</v>
      </c>
      <c r="F9" s="238">
        <v>2.9039423076923083</v>
      </c>
      <c r="G9" s="238">
        <f t="shared" si="1"/>
        <v>3.6299278846153857</v>
      </c>
      <c r="H9" s="238">
        <v>2.9039423076923083</v>
      </c>
      <c r="I9" s="238">
        <f t="shared" si="2"/>
        <v>4.2299278846153854</v>
      </c>
      <c r="J9" s="238">
        <v>2.9039423076923083</v>
      </c>
      <c r="K9" s="238">
        <f t="shared" si="3"/>
        <v>4.3799278846153857</v>
      </c>
      <c r="L9" s="238">
        <v>2.9039423076923083</v>
      </c>
      <c r="M9" s="238">
        <f t="shared" si="4"/>
        <v>4.6319278846153855</v>
      </c>
      <c r="N9" s="238">
        <v>2.9039423076923083</v>
      </c>
      <c r="O9" s="238">
        <f t="shared" si="5"/>
        <v>6.6299278846153857</v>
      </c>
    </row>
    <row r="10" spans="1:15">
      <c r="A10" s="52">
        <v>2018</v>
      </c>
      <c r="B10" s="52">
        <v>0.94854970430864538</v>
      </c>
      <c r="C10" s="52">
        <v>3.1776415094339621</v>
      </c>
      <c r="D10" s="238">
        <f t="shared" si="0"/>
        <v>82.998099127006469</v>
      </c>
      <c r="F10" s="238">
        <v>3.1039423076923085</v>
      </c>
      <c r="G10" s="238">
        <f>F10*$B$21/$B$26</f>
        <v>3.8799278846153862</v>
      </c>
      <c r="H10" s="238">
        <v>3.1039423076923085</v>
      </c>
      <c r="I10" s="238">
        <f>(H10*$B$21/$B$26)+0.6</f>
        <v>4.4799278846153863</v>
      </c>
      <c r="J10" s="238">
        <v>3.1039423076923085</v>
      </c>
      <c r="K10" s="238">
        <f t="shared" si="3"/>
        <v>4.6299278846153857</v>
      </c>
      <c r="L10" s="238">
        <v>3.1039423076923085</v>
      </c>
      <c r="M10" s="238">
        <f t="shared" si="4"/>
        <v>4.8819278846153864</v>
      </c>
      <c r="N10" s="238">
        <v>3.1039423076923085</v>
      </c>
      <c r="O10" s="238">
        <f t="shared" si="5"/>
        <v>6.8799278846153857</v>
      </c>
    </row>
    <row r="11" spans="1:15">
      <c r="A11" s="52">
        <v>2021</v>
      </c>
      <c r="B11" s="52">
        <v>0.98111940298507438</v>
      </c>
      <c r="C11" s="52">
        <v>3.2867500000000005</v>
      </c>
      <c r="D11" s="238">
        <f t="shared" si="0"/>
        <v>85.847947761194007</v>
      </c>
      <c r="F11" s="238">
        <v>3.3039423076923087</v>
      </c>
      <c r="G11" s="238">
        <f t="shared" si="1"/>
        <v>4.1299278846153857</v>
      </c>
      <c r="H11" s="238">
        <v>3.3039423076923087</v>
      </c>
      <c r="I11" s="238">
        <f t="shared" si="2"/>
        <v>4.7299278846153854</v>
      </c>
      <c r="J11" s="238">
        <v>3.3039423076923087</v>
      </c>
      <c r="K11" s="238">
        <f t="shared" si="3"/>
        <v>4.8799278846153857</v>
      </c>
      <c r="L11" s="238">
        <v>3.3039423076923087</v>
      </c>
      <c r="M11" s="238">
        <f t="shared" si="4"/>
        <v>5.1319278846153855</v>
      </c>
      <c r="N11" s="238">
        <v>3.3039423076923087</v>
      </c>
      <c r="O11" s="238">
        <f t="shared" si="5"/>
        <v>7.1299278846153857</v>
      </c>
    </row>
    <row r="12" spans="1:15">
      <c r="A12" s="52">
        <v>2014</v>
      </c>
      <c r="B12" s="52">
        <v>1.1416819747416762</v>
      </c>
      <c r="C12" s="52">
        <v>3.8246346153846149</v>
      </c>
      <c r="D12" s="238">
        <f t="shared" si="0"/>
        <v>99.897172789896672</v>
      </c>
      <c r="F12" s="238">
        <v>3.5039423076923089</v>
      </c>
      <c r="G12" s="238">
        <f t="shared" si="1"/>
        <v>4.3799278846153857</v>
      </c>
      <c r="H12" s="238">
        <v>3.5039423076923089</v>
      </c>
      <c r="I12" s="238">
        <f t="shared" si="2"/>
        <v>4.9799278846153854</v>
      </c>
      <c r="J12" s="238">
        <v>3.5039423076923089</v>
      </c>
      <c r="K12" s="238">
        <f>(J12*$B$21/$B$26)+0.75</f>
        <v>5.1299278846153857</v>
      </c>
      <c r="L12" s="238">
        <v>3.5039423076923089</v>
      </c>
      <c r="M12" s="238">
        <f>(L12*$B$21/$B$26)+1.002</f>
        <v>5.3819278846153855</v>
      </c>
      <c r="N12" s="238">
        <v>3.5039423076923089</v>
      </c>
      <c r="O12" s="238">
        <f t="shared" si="5"/>
        <v>7.3799278846153857</v>
      </c>
    </row>
    <row r="13" spans="1:15">
      <c r="A13" s="52">
        <v>2011</v>
      </c>
      <c r="B13" s="52">
        <v>1.1461825487944892</v>
      </c>
      <c r="C13" s="52">
        <v>3.839711538461537</v>
      </c>
      <c r="D13" s="238">
        <f t="shared" si="0"/>
        <v>100.29097301951781</v>
      </c>
      <c r="F13" s="238">
        <v>3.703942307692309</v>
      </c>
      <c r="G13" s="238">
        <f t="shared" si="1"/>
        <v>4.6299278846153857</v>
      </c>
      <c r="H13" s="238">
        <v>3.703942307692309</v>
      </c>
      <c r="I13" s="238">
        <f t="shared" si="2"/>
        <v>5.2299278846153854</v>
      </c>
      <c r="J13" s="238">
        <v>3.703942307692309</v>
      </c>
      <c r="K13" s="238">
        <f t="shared" si="3"/>
        <v>5.3799278846153857</v>
      </c>
      <c r="L13" s="238">
        <v>3.703942307692309</v>
      </c>
      <c r="M13" s="238">
        <f t="shared" si="4"/>
        <v>5.6319278846153855</v>
      </c>
      <c r="N13" s="238">
        <v>3.703942307692309</v>
      </c>
      <c r="O13" s="238">
        <f>(N13*$B$21/$B$26)+3</f>
        <v>7.6299278846153857</v>
      </c>
    </row>
    <row r="14" spans="1:15">
      <c r="A14" s="52">
        <v>2013</v>
      </c>
      <c r="B14" s="52">
        <v>1.1706659012629164</v>
      </c>
      <c r="C14" s="52">
        <v>3.921730769230769</v>
      </c>
      <c r="D14" s="238">
        <f t="shared" si="0"/>
        <v>102.43326636050519</v>
      </c>
      <c r="F14" s="238">
        <v>3.9039423076923092</v>
      </c>
      <c r="G14" s="238">
        <f t="shared" si="1"/>
        <v>4.8799278846153866</v>
      </c>
      <c r="H14" s="238">
        <v>3.9039423076923092</v>
      </c>
      <c r="I14" s="238">
        <f t="shared" si="2"/>
        <v>5.4799278846153863</v>
      </c>
      <c r="J14" s="238">
        <v>3.9039423076923092</v>
      </c>
      <c r="K14" s="238">
        <f t="shared" si="3"/>
        <v>5.6299278846153866</v>
      </c>
      <c r="L14" s="238">
        <v>3.9039423076923092</v>
      </c>
      <c r="M14" s="238">
        <f t="shared" si="4"/>
        <v>5.8819278846153864</v>
      </c>
      <c r="N14" s="238">
        <v>3.9039423076923092</v>
      </c>
      <c r="O14" s="238">
        <f t="shared" si="5"/>
        <v>7.8799278846153866</v>
      </c>
    </row>
    <row r="15" spans="1:15">
      <c r="A15" s="52">
        <v>2012</v>
      </c>
      <c r="B15" s="52">
        <v>1.1843987609124187</v>
      </c>
      <c r="C15" s="52">
        <v>3.9677358490566048</v>
      </c>
      <c r="D15" s="238">
        <f t="shared" si="0"/>
        <v>103.63489157983663</v>
      </c>
      <c r="F15" s="238">
        <v>4.1039423076923089</v>
      </c>
      <c r="G15" s="238">
        <f t="shared" si="1"/>
        <v>5.1299278846153857</v>
      </c>
      <c r="H15" s="238">
        <v>4.1039423076923089</v>
      </c>
      <c r="I15" s="238">
        <f t="shared" si="2"/>
        <v>5.7299278846153854</v>
      </c>
      <c r="J15" s="238">
        <v>4.1039423076923089</v>
      </c>
      <c r="K15" s="238">
        <f t="shared" si="3"/>
        <v>5.8799278846153857</v>
      </c>
      <c r="L15" s="238">
        <v>4.1039423076923089</v>
      </c>
      <c r="M15" s="238">
        <f t="shared" si="4"/>
        <v>6.1319278846153855</v>
      </c>
      <c r="N15" s="238">
        <v>4.1039423076923089</v>
      </c>
      <c r="O15" s="238">
        <f t="shared" si="5"/>
        <v>8.1299278846153857</v>
      </c>
    </row>
    <row r="16" spans="1:15">
      <c r="A16" s="52">
        <v>2022</v>
      </c>
      <c r="B16" s="52">
        <v>1.4809950248756221</v>
      </c>
      <c r="C16" s="52">
        <v>4.961333333333334</v>
      </c>
      <c r="D16" s="238">
        <f t="shared" si="0"/>
        <v>129.58706467661693</v>
      </c>
      <c r="F16" s="238">
        <v>4.3039423076923091</v>
      </c>
      <c r="G16" s="238">
        <f t="shared" si="1"/>
        <v>5.3799278846153866</v>
      </c>
      <c r="H16" s="238">
        <v>4.3039423076923091</v>
      </c>
      <c r="I16" s="238">
        <f t="shared" si="2"/>
        <v>5.9799278846153863</v>
      </c>
      <c r="J16" s="238">
        <v>4.3039423076923091</v>
      </c>
      <c r="K16" s="238">
        <f t="shared" si="3"/>
        <v>6.1299278846153866</v>
      </c>
      <c r="L16" s="238">
        <v>4.3039423076923091</v>
      </c>
      <c r="M16" s="238">
        <f t="shared" si="4"/>
        <v>6.3819278846153864</v>
      </c>
      <c r="N16" s="238">
        <v>4.3039423076923091</v>
      </c>
      <c r="O16" s="238">
        <f t="shared" si="5"/>
        <v>8.3799278846153875</v>
      </c>
    </row>
    <row r="17" spans="1:15">
      <c r="F17" s="238">
        <v>4.5039423076923093</v>
      </c>
      <c r="G17" s="238">
        <f t="shared" si="1"/>
        <v>5.6299278846153866</v>
      </c>
      <c r="H17" s="238">
        <v>4.5039423076923093</v>
      </c>
      <c r="I17" s="238">
        <f t="shared" si="2"/>
        <v>6.2299278846153863</v>
      </c>
      <c r="J17" s="238">
        <v>4.5039423076923093</v>
      </c>
      <c r="K17" s="238">
        <f t="shared" si="3"/>
        <v>6.3799278846153866</v>
      </c>
      <c r="L17" s="238">
        <v>4.5039423076923093</v>
      </c>
      <c r="M17" s="238">
        <f t="shared" si="4"/>
        <v>6.6319278846153864</v>
      </c>
      <c r="N17" s="238">
        <v>4.5039423076923093</v>
      </c>
      <c r="O17" s="238">
        <f t="shared" si="5"/>
        <v>8.6299278846153875</v>
      </c>
    </row>
    <row r="18" spans="1:15">
      <c r="F18" s="238">
        <v>4.7039423076923095</v>
      </c>
      <c r="G18" s="238">
        <f t="shared" si="1"/>
        <v>5.8799278846153866</v>
      </c>
      <c r="H18" s="238">
        <v>4.7039423076923095</v>
      </c>
      <c r="I18" s="238">
        <f t="shared" si="2"/>
        <v>6.4799278846153863</v>
      </c>
      <c r="J18" s="238">
        <v>4.7039423076923095</v>
      </c>
      <c r="K18" s="238">
        <f t="shared" si="3"/>
        <v>6.6299278846153866</v>
      </c>
      <c r="L18" s="238">
        <v>4.7039423076923095</v>
      </c>
      <c r="M18" s="238">
        <f t="shared" si="4"/>
        <v>6.8819278846153864</v>
      </c>
      <c r="N18" s="238">
        <v>4.7039423076923095</v>
      </c>
      <c r="O18" s="238">
        <f t="shared" si="5"/>
        <v>8.8799278846153875</v>
      </c>
    </row>
    <row r="19" spans="1:15">
      <c r="F19" s="238">
        <v>4.9039423076923097</v>
      </c>
      <c r="G19" s="238">
        <f t="shared" si="1"/>
        <v>6.1299278846153866</v>
      </c>
      <c r="H19" s="238">
        <v>4.9039423076923097</v>
      </c>
      <c r="I19" s="238">
        <f t="shared" si="2"/>
        <v>6.7299278846153863</v>
      </c>
      <c r="J19" s="238">
        <v>4.9039423076923097</v>
      </c>
      <c r="K19" s="238">
        <f t="shared" si="3"/>
        <v>6.8799278846153866</v>
      </c>
      <c r="L19" s="238">
        <v>4.9039423076923097</v>
      </c>
      <c r="M19" s="238">
        <f t="shared" si="4"/>
        <v>7.1319278846153864</v>
      </c>
      <c r="N19" s="238">
        <v>4.9039423076923097</v>
      </c>
      <c r="O19" s="238">
        <f t="shared" si="5"/>
        <v>9.1299278846153875</v>
      </c>
    </row>
    <row r="20" spans="1:15" ht="55.2">
      <c r="A20" s="243" t="s">
        <v>52</v>
      </c>
      <c r="B20" s="243" t="s">
        <v>279</v>
      </c>
      <c r="C20" s="243" t="s">
        <v>280</v>
      </c>
      <c r="D20" s="244"/>
      <c r="E20" s="244"/>
      <c r="F20" s="238">
        <v>5.1039423076923098</v>
      </c>
      <c r="G20" s="238">
        <f t="shared" si="1"/>
        <v>6.3799278846153875</v>
      </c>
      <c r="H20" s="238">
        <v>5.1039423076923098</v>
      </c>
      <c r="I20" s="238">
        <f t="shared" si="2"/>
        <v>6.9799278846153872</v>
      </c>
      <c r="J20" s="238">
        <v>5.1039423076923098</v>
      </c>
      <c r="K20" s="238">
        <f t="shared" si="3"/>
        <v>7.1299278846153875</v>
      </c>
      <c r="L20" s="238">
        <v>5.1039423076923098</v>
      </c>
      <c r="M20" s="238">
        <f t="shared" si="4"/>
        <v>7.3819278846153873</v>
      </c>
      <c r="N20" s="238">
        <v>5.1039423076923098</v>
      </c>
      <c r="O20" s="238">
        <f t="shared" si="5"/>
        <v>9.3799278846153875</v>
      </c>
    </row>
    <row r="21" spans="1:15">
      <c r="A21" s="238" t="s">
        <v>281</v>
      </c>
      <c r="B21" s="238">
        <v>87.5</v>
      </c>
      <c r="C21" s="245">
        <f>10.15*27.27</f>
        <v>276.79050000000001</v>
      </c>
      <c r="F21" s="238">
        <v>5.30394230769231</v>
      </c>
      <c r="G21" s="238">
        <f t="shared" si="1"/>
        <v>6.6299278846153875</v>
      </c>
      <c r="H21" s="238">
        <v>5.30394230769231</v>
      </c>
      <c r="I21" s="238">
        <f t="shared" si="2"/>
        <v>7.2299278846153872</v>
      </c>
      <c r="J21" s="238">
        <v>5.30394230769231</v>
      </c>
      <c r="K21" s="238">
        <f t="shared" si="3"/>
        <v>7.3799278846153875</v>
      </c>
      <c r="L21" s="238">
        <v>5.30394230769231</v>
      </c>
      <c r="M21" s="238">
        <f t="shared" si="4"/>
        <v>7.6319278846153873</v>
      </c>
      <c r="N21" s="238">
        <v>5.30394230769231</v>
      </c>
      <c r="O21" s="238">
        <f t="shared" si="5"/>
        <v>9.6299278846153875</v>
      </c>
    </row>
    <row r="22" spans="1:15">
      <c r="A22" s="246">
        <v>4</v>
      </c>
      <c r="B22" s="238">
        <v>70</v>
      </c>
      <c r="C22" s="247">
        <f>4*B22</f>
        <v>280</v>
      </c>
    </row>
    <row r="23" spans="1:15">
      <c r="A23" s="246">
        <v>2.5</v>
      </c>
      <c r="B23" s="238">
        <v>70</v>
      </c>
      <c r="C23" s="247">
        <f>2.5*B23</f>
        <v>175</v>
      </c>
    </row>
    <row r="24" spans="1:15">
      <c r="A24" s="246">
        <v>1.5</v>
      </c>
      <c r="B24" s="238">
        <v>70</v>
      </c>
      <c r="C24" s="247">
        <f>1.5*B24</f>
        <v>105</v>
      </c>
    </row>
    <row r="25" spans="1:15">
      <c r="A25" s="246">
        <v>0.45</v>
      </c>
      <c r="B25" s="238">
        <v>70</v>
      </c>
      <c r="C25" s="247">
        <f>0.45*B25</f>
        <v>31.5</v>
      </c>
    </row>
    <row r="26" spans="1:15">
      <c r="A26" s="238" t="s">
        <v>282</v>
      </c>
      <c r="B26" s="238">
        <v>70</v>
      </c>
    </row>
    <row r="28" spans="1:15">
      <c r="A28" s="238" t="s">
        <v>272</v>
      </c>
      <c r="B28" s="238" t="s">
        <v>273</v>
      </c>
      <c r="C28" s="238" t="s">
        <v>274</v>
      </c>
      <c r="D28" s="238" t="s">
        <v>275</v>
      </c>
      <c r="E28" s="238" t="s">
        <v>121</v>
      </c>
    </row>
    <row r="29" spans="1:15">
      <c r="A29" s="238">
        <v>2016</v>
      </c>
      <c r="B29" s="238">
        <f>C29/3.35</f>
        <v>0.68774397244546503</v>
      </c>
      <c r="C29" s="245">
        <v>2.3039423076923078</v>
      </c>
      <c r="D29" s="238">
        <f>B29*$B$21</f>
        <v>60.177597588978188</v>
      </c>
      <c r="E29" s="245">
        <f>1000*B29/12.7</f>
        <v>54.153068696493314</v>
      </c>
    </row>
    <row r="30" spans="1:15">
      <c r="A30" s="238">
        <v>2020</v>
      </c>
      <c r="B30" s="238">
        <f t="shared" ref="B30:B44" si="6">C30/3.35</f>
        <v>0.74744546498277853</v>
      </c>
      <c r="C30" s="245">
        <f>C29+0.2</f>
        <v>2.503942307692308</v>
      </c>
      <c r="D30" s="238">
        <f t="shared" ref="D30:D44" si="7">B30*$B$21</f>
        <v>65.401478185993128</v>
      </c>
      <c r="E30" s="245">
        <f t="shared" ref="E30:E44" si="8">1000*B30/12.7</f>
        <v>58.853973620691221</v>
      </c>
    </row>
    <row r="31" spans="1:15">
      <c r="A31" s="238">
        <v>2017</v>
      </c>
      <c r="B31" s="238">
        <f t="shared" si="6"/>
        <v>0.80714695752009191</v>
      </c>
      <c r="C31" s="245">
        <f t="shared" ref="C31:C44" si="9">C30+0.2</f>
        <v>2.7039423076923081</v>
      </c>
      <c r="D31" s="238">
        <f t="shared" si="7"/>
        <v>70.625358783008039</v>
      </c>
      <c r="E31" s="245">
        <f t="shared" si="8"/>
        <v>63.554878544889128</v>
      </c>
    </row>
    <row r="32" spans="1:15">
      <c r="A32" s="238">
        <v>2015</v>
      </c>
      <c r="B32" s="238">
        <f t="shared" si="6"/>
        <v>0.86684845005740541</v>
      </c>
      <c r="C32" s="245">
        <f t="shared" si="9"/>
        <v>2.9039423076923083</v>
      </c>
      <c r="D32" s="238">
        <f t="shared" si="7"/>
        <v>75.849239380022979</v>
      </c>
      <c r="E32" s="245">
        <f t="shared" si="8"/>
        <v>68.255783469087049</v>
      </c>
    </row>
    <row r="33" spans="1:9">
      <c r="A33" s="238">
        <v>2010</v>
      </c>
      <c r="B33" s="238">
        <f t="shared" si="6"/>
        <v>0.9265499425947189</v>
      </c>
      <c r="C33" s="245">
        <f t="shared" si="9"/>
        <v>3.1039423076923085</v>
      </c>
      <c r="D33" s="238">
        <f t="shared" si="7"/>
        <v>81.073119977037905</v>
      </c>
      <c r="E33" s="245">
        <f t="shared" si="8"/>
        <v>72.956688393284963</v>
      </c>
    </row>
    <row r="34" spans="1:9">
      <c r="A34" s="238">
        <v>2019</v>
      </c>
      <c r="B34" s="238">
        <f t="shared" si="6"/>
        <v>0.98625143513203239</v>
      </c>
      <c r="C34" s="245">
        <f t="shared" si="9"/>
        <v>3.3039423076923087</v>
      </c>
      <c r="D34" s="238">
        <f t="shared" si="7"/>
        <v>86.297000574052831</v>
      </c>
      <c r="E34" s="245">
        <f t="shared" si="8"/>
        <v>77.657593317482863</v>
      </c>
    </row>
    <row r="35" spans="1:9">
      <c r="A35" s="238">
        <v>2018</v>
      </c>
      <c r="B35" s="238">
        <f t="shared" si="6"/>
        <v>1.045952927669346</v>
      </c>
      <c r="C35" s="245">
        <f t="shared" si="9"/>
        <v>3.5039423076923089</v>
      </c>
      <c r="D35" s="238">
        <f t="shared" si="7"/>
        <v>91.520881171067771</v>
      </c>
      <c r="E35" s="245">
        <f t="shared" si="8"/>
        <v>82.358498241680792</v>
      </c>
    </row>
    <row r="36" spans="1:9">
      <c r="A36" s="238">
        <v>2021</v>
      </c>
      <c r="B36" s="238">
        <f t="shared" si="6"/>
        <v>1.1056544202066594</v>
      </c>
      <c r="C36" s="245">
        <f t="shared" si="9"/>
        <v>3.703942307692309</v>
      </c>
      <c r="D36" s="238">
        <f t="shared" si="7"/>
        <v>96.744761768082697</v>
      </c>
      <c r="E36" s="245">
        <f t="shared" si="8"/>
        <v>87.059403165878692</v>
      </c>
    </row>
    <row r="37" spans="1:9">
      <c r="A37" s="238">
        <v>2014</v>
      </c>
      <c r="B37" s="238">
        <f t="shared" si="6"/>
        <v>1.1653559127439728</v>
      </c>
      <c r="C37" s="245">
        <f t="shared" si="9"/>
        <v>3.9039423076923092</v>
      </c>
      <c r="D37" s="238">
        <f t="shared" si="7"/>
        <v>101.96864236509762</v>
      </c>
      <c r="E37" s="245">
        <f t="shared" si="8"/>
        <v>91.760308090076606</v>
      </c>
    </row>
    <row r="38" spans="1:9">
      <c r="A38" s="238">
        <v>2011</v>
      </c>
      <c r="B38" s="238">
        <f t="shared" si="6"/>
        <v>1.2250574052812861</v>
      </c>
      <c r="C38" s="245">
        <f t="shared" si="9"/>
        <v>4.1039423076923089</v>
      </c>
      <c r="D38" s="238">
        <f t="shared" si="7"/>
        <v>107.19252296211253</v>
      </c>
      <c r="E38" s="245">
        <f t="shared" si="8"/>
        <v>96.461213014274492</v>
      </c>
    </row>
    <row r="39" spans="1:9">
      <c r="A39" s="238">
        <v>2013</v>
      </c>
      <c r="B39" s="238">
        <f t="shared" si="6"/>
        <v>1.2847588978185998</v>
      </c>
      <c r="C39" s="245">
        <f t="shared" si="9"/>
        <v>4.3039423076923091</v>
      </c>
      <c r="D39" s="238">
        <f t="shared" si="7"/>
        <v>112.41640355912747</v>
      </c>
      <c r="E39" s="245">
        <f t="shared" si="8"/>
        <v>101.16211793847242</v>
      </c>
    </row>
    <row r="40" spans="1:9">
      <c r="A40" s="238">
        <v>2012</v>
      </c>
      <c r="B40" s="238">
        <f t="shared" si="6"/>
        <v>1.3444603903559131</v>
      </c>
      <c r="C40" s="245">
        <f t="shared" si="9"/>
        <v>4.5039423076923093</v>
      </c>
      <c r="D40" s="238">
        <f t="shared" si="7"/>
        <v>117.6402841561424</v>
      </c>
      <c r="E40" s="245">
        <f t="shared" si="8"/>
        <v>105.86302286267033</v>
      </c>
    </row>
    <row r="41" spans="1:9">
      <c r="A41" s="238">
        <v>2022</v>
      </c>
      <c r="B41" s="238">
        <f t="shared" si="6"/>
        <v>1.4041618828932267</v>
      </c>
      <c r="C41" s="245">
        <f t="shared" si="9"/>
        <v>4.7039423076923095</v>
      </c>
      <c r="D41" s="238">
        <f t="shared" si="7"/>
        <v>122.86416475315734</v>
      </c>
      <c r="E41" s="245">
        <f t="shared" si="8"/>
        <v>110.56392778686825</v>
      </c>
    </row>
    <row r="42" spans="1:9">
      <c r="A42" s="238"/>
      <c r="B42" s="238">
        <f t="shared" si="6"/>
        <v>1.4638633754305401</v>
      </c>
      <c r="C42" s="245">
        <f t="shared" si="9"/>
        <v>4.9039423076923097</v>
      </c>
      <c r="D42" s="238">
        <f t="shared" si="7"/>
        <v>128.08804535017225</v>
      </c>
      <c r="E42" s="245">
        <f t="shared" si="8"/>
        <v>115.26483271106616</v>
      </c>
    </row>
    <row r="43" spans="1:9">
      <c r="A43" s="238"/>
      <c r="B43" s="238">
        <f t="shared" si="6"/>
        <v>1.5235648679678537</v>
      </c>
      <c r="C43" s="245">
        <f t="shared" si="9"/>
        <v>5.1039423076923098</v>
      </c>
      <c r="D43" s="238">
        <f t="shared" si="7"/>
        <v>133.31192594718721</v>
      </c>
      <c r="E43" s="245">
        <f t="shared" si="8"/>
        <v>119.96573763526409</v>
      </c>
    </row>
    <row r="44" spans="1:9">
      <c r="A44" s="238"/>
      <c r="B44" s="238">
        <f t="shared" si="6"/>
        <v>1.5832663605051671</v>
      </c>
      <c r="C44" s="245">
        <f t="shared" si="9"/>
        <v>5.30394230769231</v>
      </c>
      <c r="D44" s="238">
        <f t="shared" si="7"/>
        <v>138.53580654420213</v>
      </c>
      <c r="E44" s="245">
        <f t="shared" si="8"/>
        <v>124.66664255946198</v>
      </c>
    </row>
    <row r="48" spans="1:9">
      <c r="I48" s="254"/>
    </row>
  </sheetData>
  <mergeCells count="7">
    <mergeCell ref="F3:O3"/>
    <mergeCell ref="N4:O4"/>
    <mergeCell ref="A1:B1"/>
    <mergeCell ref="F4:G4"/>
    <mergeCell ref="H4:I4"/>
    <mergeCell ref="J4:K4"/>
    <mergeCell ref="L4:M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C8B57-3590-414E-ABBD-8B8B190DA7B5}">
  <dimension ref="A1:O93"/>
  <sheetViews>
    <sheetView zoomScale="74" zoomScaleNormal="85" workbookViewId="0">
      <selection activeCell="F4" sqref="F4:O5"/>
    </sheetView>
  </sheetViews>
  <sheetFormatPr defaultColWidth="9.109375" defaultRowHeight="13.8"/>
  <cols>
    <col min="1" max="1" width="9.109375" style="239"/>
    <col min="2" max="2" width="17.5546875" style="239" customWidth="1"/>
    <col min="3" max="16384" width="9.109375" style="239"/>
  </cols>
  <sheetData>
    <row r="1" spans="1:15" ht="79.8" customHeight="1">
      <c r="A1" s="179" t="s">
        <v>291</v>
      </c>
      <c r="B1" s="180"/>
    </row>
    <row r="3" spans="1:15">
      <c r="A3" s="238" t="s">
        <v>272</v>
      </c>
      <c r="B3" s="238" t="s">
        <v>273</v>
      </c>
      <c r="C3" s="238" t="s">
        <v>274</v>
      </c>
      <c r="D3" s="238" t="s">
        <v>275</v>
      </c>
      <c r="F3" s="240" t="s">
        <v>58</v>
      </c>
      <c r="G3" s="240"/>
      <c r="H3" s="240"/>
      <c r="I3" s="240"/>
      <c r="J3" s="240"/>
      <c r="K3" s="240"/>
      <c r="L3" s="240"/>
      <c r="M3" s="240"/>
      <c r="N3" s="240"/>
      <c r="O3" s="240"/>
    </row>
    <row r="4" spans="1:15">
      <c r="A4" s="52">
        <v>2016</v>
      </c>
      <c r="B4" s="52">
        <v>0.68774397244546526</v>
      </c>
      <c r="C4" s="52">
        <v>2.3039423076923078</v>
      </c>
      <c r="D4" s="238">
        <f t="shared" ref="D4:D16" si="0">B4*$B$21</f>
        <v>60.177597588978209</v>
      </c>
      <c r="F4" s="255" t="s">
        <v>61</v>
      </c>
      <c r="G4" s="256"/>
      <c r="H4" s="257" t="s">
        <v>62</v>
      </c>
      <c r="I4" s="258"/>
      <c r="J4" s="257" t="s">
        <v>63</v>
      </c>
      <c r="K4" s="258"/>
      <c r="L4" s="257" t="s">
        <v>64</v>
      </c>
      <c r="M4" s="258"/>
      <c r="N4" s="242" t="s">
        <v>65</v>
      </c>
      <c r="O4" s="242"/>
    </row>
    <row r="5" spans="1:15" ht="41.4">
      <c r="A5" s="52">
        <v>2020</v>
      </c>
      <c r="B5" s="52">
        <v>0.76143513203214697</v>
      </c>
      <c r="C5" s="52">
        <v>2.5508076923076928</v>
      </c>
      <c r="D5" s="238">
        <f t="shared" si="0"/>
        <v>66.625574052812865</v>
      </c>
      <c r="F5" s="259" t="s">
        <v>276</v>
      </c>
      <c r="G5" s="259" t="s">
        <v>277</v>
      </c>
      <c r="H5" s="259" t="s">
        <v>278</v>
      </c>
      <c r="I5" s="259" t="s">
        <v>277</v>
      </c>
      <c r="J5" s="259" t="s">
        <v>278</v>
      </c>
      <c r="K5" s="259" t="s">
        <v>277</v>
      </c>
      <c r="L5" s="259" t="s">
        <v>278</v>
      </c>
      <c r="M5" s="259" t="s">
        <v>277</v>
      </c>
      <c r="N5" s="259" t="s">
        <v>278</v>
      </c>
      <c r="O5" s="259" t="s">
        <v>277</v>
      </c>
    </row>
    <row r="6" spans="1:15">
      <c r="A6" s="52">
        <v>2017</v>
      </c>
      <c r="B6" s="52">
        <v>0.79105625717566019</v>
      </c>
      <c r="C6" s="52">
        <v>2.650038461538462</v>
      </c>
      <c r="D6" s="238">
        <f t="shared" si="0"/>
        <v>69.217422502870264</v>
      </c>
      <c r="F6" s="238">
        <v>2.3039423076923078</v>
      </c>
      <c r="G6" s="238">
        <f>F6*$B$21/$B$26</f>
        <v>2.3039423076923078</v>
      </c>
      <c r="H6" s="238">
        <v>2.3039423076923078</v>
      </c>
      <c r="I6" s="238">
        <f>(H6*$B$21/$B$26)+0.6</f>
        <v>2.9039423076923079</v>
      </c>
      <c r="J6" s="238">
        <v>2.3039423076923078</v>
      </c>
      <c r="K6" s="238">
        <f>(J6*$B$21/$B$26)+0.75</f>
        <v>3.0539423076923078</v>
      </c>
      <c r="L6" s="238">
        <v>2.3039423076923078</v>
      </c>
      <c r="M6" s="238">
        <f>(L6*$B$21/$B$26)+1.002</f>
        <v>3.305942307692308</v>
      </c>
      <c r="N6" s="238">
        <v>2.3039423076923078</v>
      </c>
      <c r="O6" s="238">
        <f>(N6*$B$21/$B$26)+3</f>
        <v>5.3039423076923082</v>
      </c>
    </row>
    <row r="7" spans="1:15">
      <c r="A7" s="52">
        <v>2015</v>
      </c>
      <c r="B7" s="52">
        <v>0.8079506314580942</v>
      </c>
      <c r="C7" s="52">
        <v>2.7066346153846146</v>
      </c>
      <c r="D7" s="238">
        <f t="shared" si="0"/>
        <v>70.695680252583244</v>
      </c>
      <c r="F7" s="238">
        <v>2.503942307692308</v>
      </c>
      <c r="G7" s="238">
        <f t="shared" ref="G7:G21" si="1">F7*$B$21/$B$26</f>
        <v>2.503942307692308</v>
      </c>
      <c r="H7" s="238">
        <v>2.503942307692308</v>
      </c>
      <c r="I7" s="238">
        <f>(H7*$B$21/$B$26)+0.6</f>
        <v>3.1039423076923081</v>
      </c>
      <c r="J7" s="238">
        <v>2.503942307692308</v>
      </c>
      <c r="K7" s="238">
        <f t="shared" ref="K7:K21" si="2">(J7*$B$21/$B$26)+0.75</f>
        <v>3.253942307692308</v>
      </c>
      <c r="L7" s="238">
        <v>2.503942307692308</v>
      </c>
      <c r="M7" s="238">
        <f t="shared" ref="M7:M21" si="3">(L7*$B$21/$B$26)+1.002</f>
        <v>3.5059423076923082</v>
      </c>
      <c r="N7" s="238">
        <v>2.503942307692308</v>
      </c>
      <c r="O7" s="238">
        <f t="shared" ref="O7:O21" si="4">(N7*$B$21/$B$26)+3</f>
        <v>5.5039423076923075</v>
      </c>
    </row>
    <row r="8" spans="1:15">
      <c r="A8" s="52">
        <v>2010</v>
      </c>
      <c r="B8" s="52">
        <v>0.89300229621125138</v>
      </c>
      <c r="C8" s="52">
        <v>2.9915576923076923</v>
      </c>
      <c r="D8" s="238">
        <f t="shared" si="0"/>
        <v>78.137700918484498</v>
      </c>
      <c r="F8" s="238">
        <v>2.7039423076923081</v>
      </c>
      <c r="G8" s="238">
        <f t="shared" si="1"/>
        <v>2.7039423076923081</v>
      </c>
      <c r="H8" s="238">
        <v>2.7039423076923081</v>
      </c>
      <c r="I8" s="238">
        <f t="shared" ref="I8:I21" si="5">(H8*$B$21/$B$26)+0.6</f>
        <v>3.3039423076923082</v>
      </c>
      <c r="J8" s="238">
        <v>2.7039423076923081</v>
      </c>
      <c r="K8" s="238">
        <f>(J8*$B$21/$B$26)+0.75</f>
        <v>3.4539423076923081</v>
      </c>
      <c r="L8" s="238">
        <v>2.7039423076923081</v>
      </c>
      <c r="M8" s="238">
        <f t="shared" si="3"/>
        <v>3.7059423076923084</v>
      </c>
      <c r="N8" s="238">
        <v>2.7039423076923081</v>
      </c>
      <c r="O8" s="238">
        <f t="shared" si="4"/>
        <v>5.7039423076923086</v>
      </c>
    </row>
    <row r="9" spans="1:15">
      <c r="A9" s="52">
        <v>2019</v>
      </c>
      <c r="B9" s="52">
        <v>0.91218714121699196</v>
      </c>
      <c r="C9" s="52">
        <v>3.0558269230769235</v>
      </c>
      <c r="D9" s="238">
        <f t="shared" si="0"/>
        <v>79.816374856486803</v>
      </c>
      <c r="F9" s="238">
        <v>2.9039423076923083</v>
      </c>
      <c r="G9" s="238">
        <f t="shared" si="1"/>
        <v>2.9039423076923083</v>
      </c>
      <c r="H9" s="238">
        <v>2.9039423076923083</v>
      </c>
      <c r="I9" s="238">
        <f t="shared" si="5"/>
        <v>3.5039423076923084</v>
      </c>
      <c r="J9" s="238">
        <v>2.9039423076923083</v>
      </c>
      <c r="K9" s="238">
        <f t="shared" si="2"/>
        <v>3.6539423076923083</v>
      </c>
      <c r="L9" s="238">
        <v>2.9039423076923083</v>
      </c>
      <c r="M9" s="238">
        <f t="shared" si="3"/>
        <v>3.9059423076923085</v>
      </c>
      <c r="N9" s="238">
        <v>2.9039423076923083</v>
      </c>
      <c r="O9" s="238">
        <f t="shared" si="4"/>
        <v>5.9039423076923079</v>
      </c>
    </row>
    <row r="10" spans="1:15">
      <c r="A10" s="52">
        <v>2018</v>
      </c>
      <c r="B10" s="52">
        <v>0.94854970430864538</v>
      </c>
      <c r="C10" s="52">
        <v>3.1776415094339621</v>
      </c>
      <c r="D10" s="238">
        <f t="shared" si="0"/>
        <v>82.998099127006469</v>
      </c>
      <c r="F10" s="238">
        <v>3.1039423076923085</v>
      </c>
      <c r="G10" s="238">
        <f t="shared" si="1"/>
        <v>3.1039423076923089</v>
      </c>
      <c r="H10" s="238">
        <v>3.1039423076923085</v>
      </c>
      <c r="I10" s="238">
        <f t="shared" si="5"/>
        <v>3.703942307692309</v>
      </c>
      <c r="J10" s="238">
        <v>3.1039423076923085</v>
      </c>
      <c r="K10" s="238">
        <f>(J10*$B$21/$B$26)+0.75</f>
        <v>3.8539423076923089</v>
      </c>
      <c r="L10" s="238">
        <v>3.1039423076923085</v>
      </c>
      <c r="M10" s="238">
        <f t="shared" si="3"/>
        <v>4.1059423076923087</v>
      </c>
      <c r="N10" s="238">
        <v>3.1039423076923085</v>
      </c>
      <c r="O10" s="238">
        <f t="shared" si="4"/>
        <v>6.1039423076923089</v>
      </c>
    </row>
    <row r="11" spans="1:15">
      <c r="A11" s="52">
        <v>2021</v>
      </c>
      <c r="B11" s="52">
        <v>0.98111940298507438</v>
      </c>
      <c r="C11" s="52">
        <v>3.2867500000000005</v>
      </c>
      <c r="D11" s="238">
        <f t="shared" si="0"/>
        <v>85.847947761194007</v>
      </c>
      <c r="F11" s="238">
        <v>3.3039423076923087</v>
      </c>
      <c r="G11" s="238">
        <f t="shared" si="1"/>
        <v>3.3039423076923087</v>
      </c>
      <c r="H11" s="238">
        <v>3.3039423076923087</v>
      </c>
      <c r="I11" s="238">
        <f t="shared" si="5"/>
        <v>3.9039423076923088</v>
      </c>
      <c r="J11" s="238">
        <v>3.3039423076923087</v>
      </c>
      <c r="K11" s="238">
        <f t="shared" si="2"/>
        <v>4.0539423076923082</v>
      </c>
      <c r="L11" s="238">
        <v>3.3039423076923087</v>
      </c>
      <c r="M11" s="238">
        <f t="shared" si="3"/>
        <v>4.3059423076923089</v>
      </c>
      <c r="N11" s="238">
        <v>3.3039423076923087</v>
      </c>
      <c r="O11" s="238">
        <f t="shared" si="4"/>
        <v>6.3039423076923082</v>
      </c>
    </row>
    <row r="12" spans="1:15">
      <c r="A12" s="52">
        <v>2014</v>
      </c>
      <c r="B12" s="52">
        <v>1.1416819747416762</v>
      </c>
      <c r="C12" s="52">
        <v>3.8246346153846149</v>
      </c>
      <c r="D12" s="238">
        <f t="shared" si="0"/>
        <v>99.897172789896672</v>
      </c>
      <c r="F12" s="238">
        <v>3.5039423076923089</v>
      </c>
      <c r="G12" s="238">
        <f t="shared" si="1"/>
        <v>3.5039423076923089</v>
      </c>
      <c r="H12" s="238">
        <v>3.5039423076923089</v>
      </c>
      <c r="I12" s="238">
        <f t="shared" si="5"/>
        <v>4.1039423076923089</v>
      </c>
      <c r="J12" s="238">
        <v>3.5039423076923089</v>
      </c>
      <c r="K12" s="238">
        <f t="shared" si="2"/>
        <v>4.2539423076923093</v>
      </c>
      <c r="L12" s="238">
        <v>3.5039423076923089</v>
      </c>
      <c r="M12" s="238">
        <f>(L12*$B$21/$B$26)+1.002</f>
        <v>4.5059423076923091</v>
      </c>
      <c r="N12" s="238">
        <v>3.5039423076923089</v>
      </c>
      <c r="O12" s="238">
        <f t="shared" si="4"/>
        <v>6.5039423076923093</v>
      </c>
    </row>
    <row r="13" spans="1:15">
      <c r="A13" s="52">
        <v>2011</v>
      </c>
      <c r="B13" s="52">
        <v>1.1461825487944892</v>
      </c>
      <c r="C13" s="52">
        <v>3.839711538461537</v>
      </c>
      <c r="D13" s="238">
        <f t="shared" si="0"/>
        <v>100.29097301951781</v>
      </c>
      <c r="F13" s="238">
        <v>3.703942307692309</v>
      </c>
      <c r="G13" s="238">
        <f t="shared" si="1"/>
        <v>3.7039423076923086</v>
      </c>
      <c r="H13" s="238">
        <v>3.703942307692309</v>
      </c>
      <c r="I13" s="238">
        <f t="shared" si="5"/>
        <v>4.3039423076923082</v>
      </c>
      <c r="J13" s="238">
        <v>3.703942307692309</v>
      </c>
      <c r="K13" s="238">
        <f t="shared" si="2"/>
        <v>4.4539423076923086</v>
      </c>
      <c r="L13" s="238">
        <v>3.703942307692309</v>
      </c>
      <c r="M13" s="238">
        <f t="shared" si="3"/>
        <v>4.7059423076923084</v>
      </c>
      <c r="N13" s="238">
        <v>3.703942307692309</v>
      </c>
      <c r="O13" s="238">
        <f t="shared" si="4"/>
        <v>6.7039423076923086</v>
      </c>
    </row>
    <row r="14" spans="1:15">
      <c r="A14" s="52">
        <v>2013</v>
      </c>
      <c r="B14" s="52">
        <v>1.1706659012629164</v>
      </c>
      <c r="C14" s="52">
        <v>3.921730769230769</v>
      </c>
      <c r="D14" s="238">
        <f t="shared" si="0"/>
        <v>102.43326636050519</v>
      </c>
      <c r="F14" s="238">
        <v>3.9039423076923092</v>
      </c>
      <c r="G14" s="238">
        <f t="shared" si="1"/>
        <v>3.9039423076923097</v>
      </c>
      <c r="H14" s="238">
        <v>3.9039423076923092</v>
      </c>
      <c r="I14" s="238">
        <f t="shared" si="5"/>
        <v>4.5039423076923093</v>
      </c>
      <c r="J14" s="238">
        <v>3.9039423076923092</v>
      </c>
      <c r="K14" s="238">
        <f t="shared" si="2"/>
        <v>4.6539423076923097</v>
      </c>
      <c r="L14" s="238">
        <v>3.9039423076923092</v>
      </c>
      <c r="M14" s="238">
        <f t="shared" si="3"/>
        <v>4.9059423076923094</v>
      </c>
      <c r="N14" s="238">
        <v>3.9039423076923092</v>
      </c>
      <c r="O14" s="238">
        <f t="shared" si="4"/>
        <v>6.9039423076923097</v>
      </c>
    </row>
    <row r="15" spans="1:15">
      <c r="A15" s="52">
        <v>2012</v>
      </c>
      <c r="B15" s="52">
        <v>1.1843987609124187</v>
      </c>
      <c r="C15" s="52">
        <v>3.9677358490566048</v>
      </c>
      <c r="D15" s="238">
        <f t="shared" si="0"/>
        <v>103.63489157983663</v>
      </c>
      <c r="F15" s="238">
        <v>4.1039423076923089</v>
      </c>
      <c r="G15" s="238">
        <f t="shared" si="1"/>
        <v>4.1039423076923089</v>
      </c>
      <c r="H15" s="238">
        <v>4.1039423076923089</v>
      </c>
      <c r="I15" s="238">
        <f t="shared" si="5"/>
        <v>4.7039423076923086</v>
      </c>
      <c r="J15" s="238">
        <v>4.1039423076923089</v>
      </c>
      <c r="K15" s="238">
        <f t="shared" si="2"/>
        <v>4.8539423076923089</v>
      </c>
      <c r="L15" s="238">
        <v>4.1039423076923089</v>
      </c>
      <c r="M15" s="238">
        <f t="shared" si="3"/>
        <v>5.1059423076923087</v>
      </c>
      <c r="N15" s="238">
        <v>4.1039423076923089</v>
      </c>
      <c r="O15" s="238">
        <f t="shared" si="4"/>
        <v>7.1039423076923089</v>
      </c>
    </row>
    <row r="16" spans="1:15">
      <c r="A16" s="52">
        <v>2022</v>
      </c>
      <c r="B16" s="52">
        <v>1.4809950248756221</v>
      </c>
      <c r="C16" s="52">
        <v>4.961333333333334</v>
      </c>
      <c r="D16" s="238">
        <f t="shared" si="0"/>
        <v>129.58706467661693</v>
      </c>
      <c r="F16" s="238">
        <v>4.3039423076923091</v>
      </c>
      <c r="G16" s="238">
        <f t="shared" si="1"/>
        <v>4.3039423076923091</v>
      </c>
      <c r="H16" s="238">
        <v>4.3039423076923091</v>
      </c>
      <c r="I16" s="238">
        <f t="shared" si="5"/>
        <v>4.9039423076923088</v>
      </c>
      <c r="J16" s="238">
        <v>4.3039423076923091</v>
      </c>
      <c r="K16" s="238">
        <f t="shared" si="2"/>
        <v>5.0539423076923091</v>
      </c>
      <c r="L16" s="238">
        <v>4.3039423076923091</v>
      </c>
      <c r="M16" s="238">
        <f t="shared" si="3"/>
        <v>5.3059423076923089</v>
      </c>
      <c r="N16" s="238">
        <v>4.3039423076923091</v>
      </c>
      <c r="O16" s="238">
        <f t="shared" si="4"/>
        <v>7.3039423076923091</v>
      </c>
    </row>
    <row r="17" spans="1:15">
      <c r="F17" s="238">
        <v>4.5039423076923093</v>
      </c>
      <c r="G17" s="238">
        <f t="shared" si="1"/>
        <v>4.5039423076923093</v>
      </c>
      <c r="H17" s="238">
        <v>4.5039423076923093</v>
      </c>
      <c r="I17" s="238">
        <f t="shared" si="5"/>
        <v>5.1039423076923089</v>
      </c>
      <c r="J17" s="238">
        <v>4.5039423076923093</v>
      </c>
      <c r="K17" s="238">
        <f t="shared" si="2"/>
        <v>5.2539423076923093</v>
      </c>
      <c r="L17" s="238">
        <v>4.5039423076923093</v>
      </c>
      <c r="M17" s="238">
        <f t="shared" si="3"/>
        <v>5.5059423076923091</v>
      </c>
      <c r="N17" s="238">
        <v>4.5039423076923093</v>
      </c>
      <c r="O17" s="238">
        <f t="shared" si="4"/>
        <v>7.5039423076923093</v>
      </c>
    </row>
    <row r="18" spans="1:15">
      <c r="F18" s="238">
        <v>4.7039423076923095</v>
      </c>
      <c r="G18" s="238">
        <f t="shared" si="1"/>
        <v>4.7039423076923095</v>
      </c>
      <c r="H18" s="238">
        <v>4.7039423076923095</v>
      </c>
      <c r="I18" s="238">
        <f t="shared" si="5"/>
        <v>5.3039423076923091</v>
      </c>
      <c r="J18" s="238">
        <v>4.7039423076923095</v>
      </c>
      <c r="K18" s="238">
        <f t="shared" si="2"/>
        <v>5.4539423076923095</v>
      </c>
      <c r="L18" s="238">
        <v>4.7039423076923095</v>
      </c>
      <c r="M18" s="238">
        <f t="shared" si="3"/>
        <v>5.7059423076923093</v>
      </c>
      <c r="N18" s="238">
        <v>4.7039423076923095</v>
      </c>
      <c r="O18" s="238">
        <f t="shared" si="4"/>
        <v>7.7039423076923095</v>
      </c>
    </row>
    <row r="19" spans="1:15">
      <c r="F19" s="238">
        <v>4.9039423076923097</v>
      </c>
      <c r="G19" s="238">
        <f t="shared" si="1"/>
        <v>4.9039423076923097</v>
      </c>
      <c r="H19" s="238">
        <v>4.9039423076923097</v>
      </c>
      <c r="I19" s="238">
        <f t="shared" si="5"/>
        <v>5.5039423076923093</v>
      </c>
      <c r="J19" s="238">
        <v>4.9039423076923097</v>
      </c>
      <c r="K19" s="238">
        <f t="shared" si="2"/>
        <v>5.6539423076923097</v>
      </c>
      <c r="L19" s="238">
        <v>4.9039423076923097</v>
      </c>
      <c r="M19" s="238">
        <f t="shared" si="3"/>
        <v>5.9059423076923094</v>
      </c>
      <c r="N19" s="238">
        <v>4.9039423076923097</v>
      </c>
      <c r="O19" s="238">
        <f t="shared" si="4"/>
        <v>7.9039423076923097</v>
      </c>
    </row>
    <row r="20" spans="1:15" ht="55.2">
      <c r="A20" s="243" t="s">
        <v>52</v>
      </c>
      <c r="B20" s="243" t="s">
        <v>279</v>
      </c>
      <c r="C20" s="243" t="s">
        <v>280</v>
      </c>
      <c r="D20" s="244"/>
      <c r="E20" s="244"/>
      <c r="F20" s="238">
        <v>5.1039423076923098</v>
      </c>
      <c r="G20" s="238">
        <f t="shared" si="1"/>
        <v>5.1039423076923098</v>
      </c>
      <c r="H20" s="238">
        <v>5.1039423076923098</v>
      </c>
      <c r="I20" s="238">
        <f t="shared" si="5"/>
        <v>5.7039423076923095</v>
      </c>
      <c r="J20" s="238">
        <v>5.1039423076923098</v>
      </c>
      <c r="K20" s="238">
        <f t="shared" si="2"/>
        <v>5.8539423076923098</v>
      </c>
      <c r="L20" s="238">
        <v>5.1039423076923098</v>
      </c>
      <c r="M20" s="238">
        <f t="shared" si="3"/>
        <v>6.1059423076923096</v>
      </c>
      <c r="N20" s="238">
        <v>5.1039423076923098</v>
      </c>
      <c r="O20" s="238">
        <f t="shared" si="4"/>
        <v>8.1039423076923107</v>
      </c>
    </row>
    <row r="21" spans="1:15">
      <c r="A21" s="238" t="s">
        <v>281</v>
      </c>
      <c r="B21" s="238">
        <v>87.5</v>
      </c>
      <c r="C21" s="238">
        <v>275.60000000000002</v>
      </c>
      <c r="F21" s="238">
        <v>5.30394230769231</v>
      </c>
      <c r="G21" s="238">
        <f t="shared" si="1"/>
        <v>5.30394230769231</v>
      </c>
      <c r="H21" s="238">
        <v>5.30394230769231</v>
      </c>
      <c r="I21" s="238">
        <f t="shared" si="5"/>
        <v>5.9039423076923097</v>
      </c>
      <c r="J21" s="238">
        <v>5.30394230769231</v>
      </c>
      <c r="K21" s="238">
        <f t="shared" si="2"/>
        <v>6.05394230769231</v>
      </c>
      <c r="L21" s="238">
        <v>5.30394230769231</v>
      </c>
      <c r="M21" s="238">
        <f t="shared" si="3"/>
        <v>6.3059423076923098</v>
      </c>
      <c r="N21" s="238">
        <v>5.30394230769231</v>
      </c>
      <c r="O21" s="238">
        <f t="shared" si="4"/>
        <v>8.30394230769231</v>
      </c>
    </row>
    <row r="22" spans="1:15">
      <c r="A22" s="238">
        <v>4</v>
      </c>
      <c r="B22" s="238">
        <v>87.5</v>
      </c>
      <c r="C22" s="238">
        <f>4*B22</f>
        <v>350</v>
      </c>
    </row>
    <row r="23" spans="1:15">
      <c r="A23" s="238">
        <v>2.5</v>
      </c>
      <c r="B23" s="238">
        <v>87.5</v>
      </c>
      <c r="C23" s="238">
        <f>2.5*B23</f>
        <v>218.75</v>
      </c>
    </row>
    <row r="24" spans="1:15">
      <c r="A24" s="238">
        <v>1.5</v>
      </c>
      <c r="B24" s="238">
        <v>87.5</v>
      </c>
      <c r="C24" s="238">
        <f>1.5*B24</f>
        <v>131.25</v>
      </c>
    </row>
    <row r="25" spans="1:15">
      <c r="A25" s="238">
        <v>0.45</v>
      </c>
      <c r="B25" s="238">
        <v>87.5</v>
      </c>
      <c r="C25" s="238">
        <f>0.45*B25</f>
        <v>39.375</v>
      </c>
    </row>
    <row r="26" spans="1:15">
      <c r="A26" s="238" t="s">
        <v>282</v>
      </c>
      <c r="B26" s="238">
        <v>87.5</v>
      </c>
    </row>
    <row r="28" spans="1:15">
      <c r="A28" s="238" t="s">
        <v>272</v>
      </c>
      <c r="B28" s="238" t="s">
        <v>273</v>
      </c>
      <c r="C28" s="238" t="s">
        <v>274</v>
      </c>
      <c r="D28" s="238" t="s">
        <v>275</v>
      </c>
      <c r="E28" s="238" t="s">
        <v>121</v>
      </c>
    </row>
    <row r="29" spans="1:15">
      <c r="A29" s="238">
        <v>2016</v>
      </c>
      <c r="B29" s="238">
        <f>C29/3.35</f>
        <v>0.68774397244546503</v>
      </c>
      <c r="C29" s="245">
        <v>2.3039423076923078</v>
      </c>
      <c r="D29" s="238">
        <f>B29*$B$21</f>
        <v>60.177597588978188</v>
      </c>
      <c r="E29" s="245">
        <f>1000*B29/12.7</f>
        <v>54.153068696493314</v>
      </c>
    </row>
    <row r="30" spans="1:15">
      <c r="A30" s="238">
        <v>2020</v>
      </c>
      <c r="B30" s="238">
        <f t="shared" ref="B30:B44" si="6">C30/3.35</f>
        <v>0.74744546498277853</v>
      </c>
      <c r="C30" s="245">
        <f>C29+0.2</f>
        <v>2.503942307692308</v>
      </c>
      <c r="D30" s="238">
        <f t="shared" ref="D30:D44" si="7">B30*$B$21</f>
        <v>65.401478185993128</v>
      </c>
      <c r="E30" s="245">
        <f t="shared" ref="E30:E44" si="8">1000*B30/12.7</f>
        <v>58.853973620691221</v>
      </c>
    </row>
    <row r="31" spans="1:15">
      <c r="A31" s="238">
        <v>2017</v>
      </c>
      <c r="B31" s="238">
        <f t="shared" si="6"/>
        <v>0.80714695752009191</v>
      </c>
      <c r="C31" s="245">
        <f t="shared" ref="C31:C44" si="9">C30+0.2</f>
        <v>2.7039423076923081</v>
      </c>
      <c r="D31" s="238">
        <f t="shared" si="7"/>
        <v>70.625358783008039</v>
      </c>
      <c r="E31" s="245">
        <f t="shared" si="8"/>
        <v>63.554878544889128</v>
      </c>
    </row>
    <row r="32" spans="1:15">
      <c r="A32" s="238">
        <v>2015</v>
      </c>
      <c r="B32" s="238">
        <f>C32/3.35</f>
        <v>0.86684845005740541</v>
      </c>
      <c r="C32" s="245">
        <f t="shared" si="9"/>
        <v>2.9039423076923083</v>
      </c>
      <c r="D32" s="238">
        <f t="shared" si="7"/>
        <v>75.849239380022979</v>
      </c>
      <c r="E32" s="245">
        <f t="shared" si="8"/>
        <v>68.255783469087049</v>
      </c>
    </row>
    <row r="33" spans="1:9">
      <c r="A33" s="238">
        <v>2010</v>
      </c>
      <c r="B33" s="238">
        <f t="shared" si="6"/>
        <v>0.9265499425947189</v>
      </c>
      <c r="C33" s="245">
        <f t="shared" si="9"/>
        <v>3.1039423076923085</v>
      </c>
      <c r="D33" s="238">
        <f t="shared" si="7"/>
        <v>81.073119977037905</v>
      </c>
      <c r="E33" s="245">
        <f t="shared" si="8"/>
        <v>72.956688393284963</v>
      </c>
    </row>
    <row r="34" spans="1:9">
      <c r="A34" s="238">
        <v>2019</v>
      </c>
      <c r="B34" s="238">
        <f t="shared" si="6"/>
        <v>0.98625143513203239</v>
      </c>
      <c r="C34" s="245">
        <f t="shared" si="9"/>
        <v>3.3039423076923087</v>
      </c>
      <c r="D34" s="238">
        <f t="shared" si="7"/>
        <v>86.297000574052831</v>
      </c>
      <c r="E34" s="245">
        <f t="shared" si="8"/>
        <v>77.657593317482863</v>
      </c>
    </row>
    <row r="35" spans="1:9">
      <c r="A35" s="238">
        <v>2018</v>
      </c>
      <c r="B35" s="238">
        <f t="shared" si="6"/>
        <v>1.045952927669346</v>
      </c>
      <c r="C35" s="245">
        <f t="shared" si="9"/>
        <v>3.5039423076923089</v>
      </c>
      <c r="D35" s="238">
        <f t="shared" si="7"/>
        <v>91.520881171067771</v>
      </c>
      <c r="E35" s="245">
        <f t="shared" si="8"/>
        <v>82.358498241680792</v>
      </c>
    </row>
    <row r="36" spans="1:9">
      <c r="A36" s="238">
        <v>2021</v>
      </c>
      <c r="B36" s="238">
        <f t="shared" si="6"/>
        <v>1.1056544202066594</v>
      </c>
      <c r="C36" s="245">
        <f t="shared" si="9"/>
        <v>3.703942307692309</v>
      </c>
      <c r="D36" s="238">
        <f t="shared" si="7"/>
        <v>96.744761768082697</v>
      </c>
      <c r="E36" s="245">
        <f t="shared" si="8"/>
        <v>87.059403165878692</v>
      </c>
    </row>
    <row r="37" spans="1:9">
      <c r="A37" s="238">
        <v>2014</v>
      </c>
      <c r="B37" s="238">
        <f t="shared" si="6"/>
        <v>1.1653559127439728</v>
      </c>
      <c r="C37" s="245">
        <f>C36+0.2</f>
        <v>3.9039423076923092</v>
      </c>
      <c r="D37" s="238">
        <f>B37*$B$21</f>
        <v>101.96864236509762</v>
      </c>
      <c r="E37" s="245">
        <f t="shared" si="8"/>
        <v>91.760308090076606</v>
      </c>
    </row>
    <row r="38" spans="1:9">
      <c r="A38" s="238">
        <v>2011</v>
      </c>
      <c r="B38" s="238">
        <f t="shared" si="6"/>
        <v>1.2250574052812861</v>
      </c>
      <c r="C38" s="245">
        <f>C37+0.2</f>
        <v>4.1039423076923089</v>
      </c>
      <c r="D38" s="238">
        <f t="shared" si="7"/>
        <v>107.19252296211253</v>
      </c>
      <c r="E38" s="245">
        <f t="shared" si="8"/>
        <v>96.461213014274492</v>
      </c>
    </row>
    <row r="39" spans="1:9">
      <c r="A39" s="238">
        <v>2013</v>
      </c>
      <c r="B39" s="238">
        <f t="shared" si="6"/>
        <v>1.2847588978185998</v>
      </c>
      <c r="C39" s="245">
        <f t="shared" si="9"/>
        <v>4.3039423076923091</v>
      </c>
      <c r="D39" s="238">
        <f t="shared" si="7"/>
        <v>112.41640355912747</v>
      </c>
      <c r="E39" s="245">
        <f t="shared" si="8"/>
        <v>101.16211793847242</v>
      </c>
    </row>
    <row r="40" spans="1:9">
      <c r="A40" s="238">
        <v>2012</v>
      </c>
      <c r="B40" s="238">
        <f t="shared" si="6"/>
        <v>1.3444603903559131</v>
      </c>
      <c r="C40" s="245">
        <f t="shared" si="9"/>
        <v>4.5039423076923093</v>
      </c>
      <c r="D40" s="238">
        <f t="shared" si="7"/>
        <v>117.6402841561424</v>
      </c>
      <c r="E40" s="245">
        <f t="shared" si="8"/>
        <v>105.86302286267033</v>
      </c>
    </row>
    <row r="41" spans="1:9">
      <c r="A41" s="238">
        <v>2022</v>
      </c>
      <c r="B41" s="238">
        <f t="shared" si="6"/>
        <v>1.4041618828932267</v>
      </c>
      <c r="C41" s="245">
        <f t="shared" si="9"/>
        <v>4.7039423076923095</v>
      </c>
      <c r="D41" s="238">
        <f t="shared" si="7"/>
        <v>122.86416475315734</v>
      </c>
      <c r="E41" s="245">
        <f t="shared" si="8"/>
        <v>110.56392778686825</v>
      </c>
    </row>
    <row r="42" spans="1:9">
      <c r="A42" s="238" t="s">
        <v>19</v>
      </c>
      <c r="B42" s="238">
        <f t="shared" si="6"/>
        <v>1.4638633754305401</v>
      </c>
      <c r="C42" s="245">
        <f t="shared" si="9"/>
        <v>4.9039423076923097</v>
      </c>
      <c r="D42" s="238">
        <f t="shared" si="7"/>
        <v>128.08804535017225</v>
      </c>
      <c r="E42" s="245">
        <f t="shared" si="8"/>
        <v>115.26483271106616</v>
      </c>
    </row>
    <row r="43" spans="1:9">
      <c r="A43" s="238" t="s">
        <v>19</v>
      </c>
      <c r="B43" s="238">
        <f t="shared" si="6"/>
        <v>1.5235648679678537</v>
      </c>
      <c r="C43" s="245">
        <f t="shared" si="9"/>
        <v>5.1039423076923098</v>
      </c>
      <c r="D43" s="238">
        <f t="shared" si="7"/>
        <v>133.31192594718721</v>
      </c>
      <c r="E43" s="245">
        <f t="shared" si="8"/>
        <v>119.96573763526409</v>
      </c>
    </row>
    <row r="44" spans="1:9">
      <c r="A44" s="238" t="s">
        <v>19</v>
      </c>
      <c r="B44" s="238">
        <f t="shared" si="6"/>
        <v>1.5832663605051671</v>
      </c>
      <c r="C44" s="245">
        <f t="shared" si="9"/>
        <v>5.30394230769231</v>
      </c>
      <c r="D44" s="238">
        <f t="shared" si="7"/>
        <v>138.53580654420213</v>
      </c>
      <c r="E44" s="245">
        <f t="shared" si="8"/>
        <v>124.66664255946198</v>
      </c>
    </row>
    <row r="46" spans="1:9">
      <c r="A46" s="248" t="s">
        <v>283</v>
      </c>
      <c r="B46" s="248" t="s">
        <v>273</v>
      </c>
      <c r="C46" s="248" t="s">
        <v>275</v>
      </c>
      <c r="D46" s="248"/>
      <c r="E46" s="248"/>
      <c r="F46" s="248"/>
    </row>
    <row r="47" spans="1:9">
      <c r="A47" s="248">
        <v>2016</v>
      </c>
      <c r="B47" s="248">
        <v>1</v>
      </c>
      <c r="C47" s="248">
        <f>B47*$B$26</f>
        <v>87.5</v>
      </c>
      <c r="D47" s="249"/>
      <c r="E47" s="248"/>
      <c r="F47" s="248"/>
    </row>
    <row r="48" spans="1:9">
      <c r="A48" s="248">
        <v>2020</v>
      </c>
      <c r="B48" s="248">
        <v>2</v>
      </c>
      <c r="C48" s="248">
        <f t="shared" ref="C48:C56" si="10">B48*$B$26</f>
        <v>175</v>
      </c>
      <c r="D48" s="249"/>
      <c r="E48" s="248"/>
      <c r="F48" s="248"/>
      <c r="I48" s="254"/>
    </row>
    <row r="49" spans="1:6">
      <c r="A49" s="248">
        <v>2017</v>
      </c>
      <c r="B49" s="248">
        <v>3</v>
      </c>
      <c r="C49" s="248">
        <f t="shared" si="10"/>
        <v>262.5</v>
      </c>
      <c r="D49" s="249"/>
      <c r="E49" s="248"/>
      <c r="F49" s="248"/>
    </row>
    <row r="50" spans="1:6">
      <c r="A50" s="248">
        <v>2015</v>
      </c>
      <c r="B50" s="248">
        <v>4</v>
      </c>
      <c r="C50" s="248">
        <f t="shared" si="10"/>
        <v>350</v>
      </c>
      <c r="D50" s="249"/>
      <c r="E50" s="248"/>
      <c r="F50" s="248"/>
    </row>
    <row r="51" spans="1:6">
      <c r="A51" s="248">
        <v>2010</v>
      </c>
      <c r="B51" s="248">
        <v>5</v>
      </c>
      <c r="C51" s="248">
        <f t="shared" si="10"/>
        <v>437.5</v>
      </c>
      <c r="D51" s="249"/>
      <c r="E51" s="248"/>
      <c r="F51" s="248"/>
    </row>
    <row r="52" spans="1:6">
      <c r="A52" s="248">
        <v>2019</v>
      </c>
      <c r="B52" s="248">
        <v>6</v>
      </c>
      <c r="C52" s="248">
        <f t="shared" si="10"/>
        <v>525</v>
      </c>
      <c r="D52" s="249"/>
      <c r="E52" s="248"/>
      <c r="F52" s="248"/>
    </row>
    <row r="53" spans="1:6">
      <c r="A53" s="248">
        <v>2018</v>
      </c>
      <c r="B53" s="248">
        <v>7</v>
      </c>
      <c r="C53" s="248">
        <f>B53*$B$26</f>
        <v>612.5</v>
      </c>
      <c r="D53" s="249"/>
      <c r="E53" s="248"/>
      <c r="F53" s="248"/>
    </row>
    <row r="54" spans="1:6">
      <c r="A54" s="248">
        <v>2021</v>
      </c>
      <c r="B54" s="248">
        <v>8</v>
      </c>
      <c r="C54" s="248">
        <f t="shared" si="10"/>
        <v>700</v>
      </c>
      <c r="D54" s="249"/>
      <c r="E54" s="248"/>
      <c r="F54" s="248"/>
    </row>
    <row r="55" spans="1:6">
      <c r="A55" s="248"/>
      <c r="B55" s="248">
        <v>4.5999999999999996</v>
      </c>
      <c r="C55" s="248">
        <f t="shared" si="10"/>
        <v>402.49999999999994</v>
      </c>
      <c r="D55" s="248"/>
      <c r="E55" s="248"/>
      <c r="F55" s="248"/>
    </row>
    <row r="56" spans="1:6">
      <c r="A56" s="248"/>
      <c r="B56" s="248">
        <v>4.8</v>
      </c>
      <c r="C56" s="248">
        <f t="shared" si="10"/>
        <v>420</v>
      </c>
      <c r="D56" s="248"/>
      <c r="E56" s="248"/>
      <c r="F56" s="248"/>
    </row>
    <row r="57" spans="1:6">
      <c r="A57" s="248"/>
      <c r="B57" s="248"/>
      <c r="C57" s="248"/>
      <c r="D57" s="248"/>
      <c r="E57" s="248"/>
      <c r="F57" s="248"/>
    </row>
    <row r="58" spans="1:6">
      <c r="A58" s="248"/>
      <c r="B58" s="248"/>
      <c r="C58" s="248"/>
      <c r="D58" s="248"/>
      <c r="E58" s="248"/>
      <c r="F58" s="248"/>
    </row>
    <row r="59" spans="1:6">
      <c r="A59" s="248"/>
      <c r="B59" s="248"/>
      <c r="C59" s="248"/>
      <c r="D59" s="248"/>
      <c r="E59" s="248"/>
      <c r="F59" s="248"/>
    </row>
    <row r="60" spans="1:6">
      <c r="A60" s="248"/>
      <c r="B60" s="248"/>
      <c r="C60" s="248"/>
      <c r="D60" s="248"/>
      <c r="E60" s="248"/>
      <c r="F60" s="248"/>
    </row>
    <row r="61" spans="1:6">
      <c r="A61" s="248" t="s">
        <v>284</v>
      </c>
      <c r="B61" s="248" t="s">
        <v>273</v>
      </c>
      <c r="C61" s="248" t="s">
        <v>274</v>
      </c>
      <c r="D61" s="248" t="s">
        <v>275</v>
      </c>
      <c r="E61" s="248" t="s">
        <v>121</v>
      </c>
      <c r="F61" s="248"/>
    </row>
    <row r="62" spans="1:6">
      <c r="A62" s="248">
        <v>2016</v>
      </c>
      <c r="B62" s="248">
        <f>C62/3.35</f>
        <v>0.68774397244546503</v>
      </c>
      <c r="C62" s="249">
        <v>2.3039423076923078</v>
      </c>
      <c r="D62" s="248">
        <f>B62*$B$21</f>
        <v>60.177597588978188</v>
      </c>
      <c r="E62" s="249">
        <f>1000*B62/12.7</f>
        <v>54.153068696493314</v>
      </c>
      <c r="F62" s="248"/>
    </row>
    <row r="63" spans="1:6">
      <c r="A63" s="248">
        <v>2020</v>
      </c>
      <c r="B63" s="248">
        <f t="shared" ref="B63:B64" si="11">C63/3.35</f>
        <v>0.74744546498277853</v>
      </c>
      <c r="C63" s="249">
        <f>C62+0.2</f>
        <v>2.503942307692308</v>
      </c>
      <c r="D63" s="248">
        <f t="shared" ref="D63:D69" si="12">B63*$B$21</f>
        <v>65.401478185993128</v>
      </c>
      <c r="E63" s="249">
        <f t="shared" ref="E63:E70" si="13">1000*B63/12.7</f>
        <v>58.853973620691221</v>
      </c>
      <c r="F63" s="248"/>
    </row>
    <row r="64" spans="1:6">
      <c r="A64" s="248">
        <v>2017</v>
      </c>
      <c r="B64" s="248">
        <f t="shared" si="11"/>
        <v>0.80714695752009191</v>
      </c>
      <c r="C64" s="249">
        <f t="shared" ref="C64:C78" si="14">C63+0.2</f>
        <v>2.7039423076923081</v>
      </c>
      <c r="D64" s="248">
        <f t="shared" si="12"/>
        <v>70.625358783008039</v>
      </c>
      <c r="E64" s="249">
        <f t="shared" si="13"/>
        <v>63.554878544889128</v>
      </c>
      <c r="F64" s="248"/>
    </row>
    <row r="65" spans="1:6">
      <c r="A65" s="248">
        <v>2015</v>
      </c>
      <c r="B65" s="248">
        <f>C65/3.35</f>
        <v>0.86684845005740541</v>
      </c>
      <c r="C65" s="249">
        <f t="shared" si="14"/>
        <v>2.9039423076923083</v>
      </c>
      <c r="D65" s="248">
        <f t="shared" si="12"/>
        <v>75.849239380022979</v>
      </c>
      <c r="E65" s="249">
        <f t="shared" si="13"/>
        <v>68.255783469087049</v>
      </c>
      <c r="F65" s="248"/>
    </row>
    <row r="66" spans="1:6">
      <c r="A66" s="248">
        <v>2010</v>
      </c>
      <c r="B66" s="248">
        <f t="shared" ref="B66:B78" si="15">C66/3.35</f>
        <v>0.9265499425947189</v>
      </c>
      <c r="C66" s="249">
        <f t="shared" si="14"/>
        <v>3.1039423076923085</v>
      </c>
      <c r="D66" s="248">
        <f t="shared" si="12"/>
        <v>81.073119977037905</v>
      </c>
      <c r="E66" s="249">
        <f t="shared" si="13"/>
        <v>72.956688393284963</v>
      </c>
      <c r="F66" s="248"/>
    </row>
    <row r="67" spans="1:6">
      <c r="A67" s="248">
        <v>2019</v>
      </c>
      <c r="B67" s="248">
        <f t="shared" si="15"/>
        <v>0.98625143513203239</v>
      </c>
      <c r="C67" s="249">
        <f t="shared" si="14"/>
        <v>3.3039423076923087</v>
      </c>
      <c r="D67" s="248">
        <f t="shared" si="12"/>
        <v>86.297000574052831</v>
      </c>
      <c r="E67" s="249">
        <f t="shared" si="13"/>
        <v>77.657593317482863</v>
      </c>
      <c r="F67" s="248"/>
    </row>
    <row r="68" spans="1:6">
      <c r="A68" s="248">
        <v>2018</v>
      </c>
      <c r="B68" s="248">
        <f t="shared" si="15"/>
        <v>1.045952927669346</v>
      </c>
      <c r="C68" s="249">
        <f t="shared" si="14"/>
        <v>3.5039423076923089</v>
      </c>
      <c r="D68" s="248">
        <f t="shared" si="12"/>
        <v>91.520881171067771</v>
      </c>
      <c r="E68" s="249">
        <f t="shared" si="13"/>
        <v>82.358498241680792</v>
      </c>
      <c r="F68" s="248"/>
    </row>
    <row r="69" spans="1:6">
      <c r="A69" s="248">
        <v>2021</v>
      </c>
      <c r="B69" s="248">
        <f t="shared" si="15"/>
        <v>1.1056544202066594</v>
      </c>
      <c r="C69" s="249">
        <f t="shared" si="14"/>
        <v>3.703942307692309</v>
      </c>
      <c r="D69" s="248">
        <f t="shared" si="12"/>
        <v>96.744761768082697</v>
      </c>
      <c r="E69" s="249">
        <f t="shared" si="13"/>
        <v>87.059403165878692</v>
      </c>
      <c r="F69" s="248"/>
    </row>
    <row r="70" spans="1:6">
      <c r="A70" s="248">
        <v>2014</v>
      </c>
      <c r="B70" s="248">
        <f t="shared" si="15"/>
        <v>1.1653559127439728</v>
      </c>
      <c r="C70" s="249">
        <f>C69+0.2</f>
        <v>3.9039423076923092</v>
      </c>
      <c r="D70" s="248">
        <f>B70*$B$21</f>
        <v>101.96864236509762</v>
      </c>
      <c r="E70" s="249">
        <f t="shared" si="13"/>
        <v>91.760308090076606</v>
      </c>
      <c r="F70" s="248"/>
    </row>
    <row r="71" spans="1:6">
      <c r="A71" s="248"/>
      <c r="B71" s="248">
        <f t="shared" si="15"/>
        <v>1.1940298507462686</v>
      </c>
      <c r="C71" s="249">
        <v>4</v>
      </c>
      <c r="D71" s="248">
        <f>B71*$B$21</f>
        <v>104.4776119402985</v>
      </c>
      <c r="E71" s="249"/>
      <c r="F71" s="248"/>
    </row>
    <row r="72" spans="1:6">
      <c r="A72" s="248">
        <v>2011</v>
      </c>
      <c r="B72" s="248">
        <f t="shared" si="15"/>
        <v>1.2250574052812861</v>
      </c>
      <c r="C72" s="249">
        <f>C70+0.2</f>
        <v>4.1039423076923089</v>
      </c>
      <c r="D72" s="248">
        <f t="shared" ref="D72:D78" si="16">B72*$B$21</f>
        <v>107.19252296211253</v>
      </c>
      <c r="E72" s="249">
        <f t="shared" ref="E72:E78" si="17">1000*B72/12.7</f>
        <v>96.461213014274492</v>
      </c>
      <c r="F72" s="248"/>
    </row>
    <row r="73" spans="1:6">
      <c r="A73" s="248">
        <v>2013</v>
      </c>
      <c r="B73" s="248">
        <f t="shared" si="15"/>
        <v>1.2847588978185998</v>
      </c>
      <c r="C73" s="249">
        <f t="shared" si="14"/>
        <v>4.3039423076923091</v>
      </c>
      <c r="D73" s="248">
        <f t="shared" si="16"/>
        <v>112.41640355912747</v>
      </c>
      <c r="E73" s="249">
        <f t="shared" si="17"/>
        <v>101.16211793847242</v>
      </c>
      <c r="F73" s="248"/>
    </row>
    <row r="74" spans="1:6">
      <c r="A74" s="248">
        <v>2012</v>
      </c>
      <c r="B74" s="248">
        <f t="shared" si="15"/>
        <v>1.3444603903559131</v>
      </c>
      <c r="C74" s="249">
        <f t="shared" si="14"/>
        <v>4.5039423076923093</v>
      </c>
      <c r="D74" s="248">
        <f t="shared" si="16"/>
        <v>117.6402841561424</v>
      </c>
      <c r="E74" s="249">
        <f t="shared" si="17"/>
        <v>105.86302286267033</v>
      </c>
      <c r="F74" s="248"/>
    </row>
    <row r="75" spans="1:6">
      <c r="A75" s="248">
        <v>2022</v>
      </c>
      <c r="B75" s="248">
        <f t="shared" si="15"/>
        <v>1.4041618828932267</v>
      </c>
      <c r="C75" s="249">
        <f t="shared" si="14"/>
        <v>4.7039423076923095</v>
      </c>
      <c r="D75" s="248">
        <f t="shared" si="16"/>
        <v>122.86416475315734</v>
      </c>
      <c r="E75" s="249">
        <f t="shared" si="17"/>
        <v>110.56392778686825</v>
      </c>
      <c r="F75" s="248"/>
    </row>
    <row r="76" spans="1:6">
      <c r="A76" s="248"/>
      <c r="B76" s="248">
        <f t="shared" si="15"/>
        <v>1.4638633754305401</v>
      </c>
      <c r="C76" s="249">
        <f t="shared" si="14"/>
        <v>4.9039423076923097</v>
      </c>
      <c r="D76" s="248">
        <f t="shared" si="16"/>
        <v>128.08804535017225</v>
      </c>
      <c r="E76" s="249">
        <f t="shared" si="17"/>
        <v>115.26483271106616</v>
      </c>
      <c r="F76" s="248"/>
    </row>
    <row r="77" spans="1:6">
      <c r="A77" s="248"/>
      <c r="B77" s="248">
        <f t="shared" si="15"/>
        <v>1.5235648679678537</v>
      </c>
      <c r="C77" s="249">
        <f t="shared" si="14"/>
        <v>5.1039423076923098</v>
      </c>
      <c r="D77" s="248">
        <f t="shared" si="16"/>
        <v>133.31192594718721</v>
      </c>
      <c r="E77" s="249">
        <f t="shared" si="17"/>
        <v>119.96573763526409</v>
      </c>
      <c r="F77" s="248"/>
    </row>
    <row r="78" spans="1:6">
      <c r="A78" s="248"/>
      <c r="B78" s="248">
        <f t="shared" si="15"/>
        <v>1.5832663605051671</v>
      </c>
      <c r="C78" s="249">
        <f t="shared" si="14"/>
        <v>5.30394230769231</v>
      </c>
      <c r="D78" s="248">
        <f t="shared" si="16"/>
        <v>138.53580654420213</v>
      </c>
      <c r="E78" s="249">
        <f t="shared" si="17"/>
        <v>124.66664255946198</v>
      </c>
      <c r="F78" s="248"/>
    </row>
    <row r="79" spans="1:6">
      <c r="A79" s="248"/>
      <c r="B79" s="248"/>
      <c r="C79" s="248"/>
      <c r="D79" s="248"/>
      <c r="E79" s="248"/>
      <c r="F79" s="248"/>
    </row>
    <row r="80" spans="1:6">
      <c r="A80" s="248" t="s">
        <v>283</v>
      </c>
      <c r="B80" s="248" t="s">
        <v>273</v>
      </c>
      <c r="C80" s="248" t="s">
        <v>275</v>
      </c>
      <c r="D80" s="248"/>
      <c r="E80" s="248"/>
      <c r="F80" s="248"/>
    </row>
    <row r="81" spans="1:6">
      <c r="A81" s="248">
        <v>2016</v>
      </c>
      <c r="B81" s="248">
        <v>1</v>
      </c>
      <c r="C81" s="248">
        <f>B81*$B$26</f>
        <v>87.5</v>
      </c>
      <c r="D81" s="249"/>
      <c r="E81" s="248"/>
      <c r="F81" s="248"/>
    </row>
    <row r="82" spans="1:6">
      <c r="A82" s="248">
        <v>2020</v>
      </c>
      <c r="B82" s="248">
        <v>2</v>
      </c>
      <c r="C82" s="248">
        <f t="shared" ref="C82:C86" si="18">B82*$B$26</f>
        <v>175</v>
      </c>
      <c r="D82" s="249"/>
      <c r="E82" s="248"/>
      <c r="F82" s="248"/>
    </row>
    <row r="83" spans="1:6">
      <c r="A83" s="248">
        <v>2017</v>
      </c>
      <c r="B83" s="248">
        <v>3</v>
      </c>
      <c r="C83" s="248">
        <f t="shared" si="18"/>
        <v>262.5</v>
      </c>
      <c r="D83" s="249"/>
      <c r="E83" s="248"/>
      <c r="F83" s="248"/>
    </row>
    <row r="84" spans="1:6">
      <c r="A84" s="248">
        <v>2015</v>
      </c>
      <c r="B84" s="248">
        <v>4</v>
      </c>
      <c r="C84" s="248">
        <f t="shared" si="18"/>
        <v>350</v>
      </c>
      <c r="D84" s="249"/>
      <c r="E84" s="248"/>
      <c r="F84" s="248"/>
    </row>
    <row r="85" spans="1:6">
      <c r="A85" s="248">
        <v>2010</v>
      </c>
      <c r="B85" s="248">
        <v>5</v>
      </c>
      <c r="C85" s="248">
        <f t="shared" si="18"/>
        <v>437.5</v>
      </c>
      <c r="D85" s="249"/>
      <c r="E85" s="248"/>
      <c r="F85" s="248"/>
    </row>
    <row r="86" spans="1:6">
      <c r="A86" s="248">
        <v>2019</v>
      </c>
      <c r="B86" s="248">
        <v>6</v>
      </c>
      <c r="C86" s="248">
        <f t="shared" si="18"/>
        <v>525</v>
      </c>
      <c r="D86" s="249"/>
      <c r="E86" s="248"/>
      <c r="F86" s="248"/>
    </row>
    <row r="87" spans="1:6">
      <c r="A87" s="248">
        <v>2018</v>
      </c>
      <c r="B87" s="248">
        <v>7</v>
      </c>
      <c r="C87" s="248">
        <f>B87*$B$26</f>
        <v>612.5</v>
      </c>
      <c r="D87" s="249"/>
      <c r="E87" s="248"/>
      <c r="F87" s="248"/>
    </row>
    <row r="88" spans="1:6">
      <c r="A88" s="248">
        <v>2021</v>
      </c>
      <c r="B88" s="248">
        <v>8</v>
      </c>
      <c r="C88" s="248">
        <f t="shared" ref="C88:C90" si="19">B88*$B$26</f>
        <v>700</v>
      </c>
      <c r="D88" s="249"/>
      <c r="E88" s="248"/>
      <c r="F88" s="248"/>
    </row>
    <row r="89" spans="1:6">
      <c r="A89" s="248"/>
      <c r="B89" s="248">
        <v>4.5999999999999996</v>
      </c>
      <c r="C89" s="248">
        <f t="shared" si="19"/>
        <v>402.49999999999994</v>
      </c>
      <c r="D89" s="248"/>
      <c r="E89" s="248"/>
      <c r="F89" s="248"/>
    </row>
    <row r="90" spans="1:6">
      <c r="A90" s="248"/>
      <c r="B90" s="248">
        <v>4.8</v>
      </c>
      <c r="C90" s="248">
        <f t="shared" si="19"/>
        <v>420</v>
      </c>
      <c r="D90" s="248"/>
      <c r="E90" s="248"/>
      <c r="F90" s="248"/>
    </row>
    <row r="91" spans="1:6">
      <c r="A91" s="248"/>
      <c r="B91" s="248"/>
      <c r="C91" s="248"/>
      <c r="D91" s="248"/>
      <c r="E91" s="248"/>
      <c r="F91" s="248"/>
    </row>
    <row r="92" spans="1:6">
      <c r="A92" s="248"/>
      <c r="B92" s="248"/>
      <c r="C92" s="248"/>
      <c r="D92" s="248"/>
      <c r="E92" s="248"/>
      <c r="F92" s="248"/>
    </row>
    <row r="93" spans="1:6">
      <c r="A93" s="248"/>
      <c r="B93" s="248"/>
      <c r="C93" s="248"/>
      <c r="D93" s="248"/>
      <c r="E93" s="248"/>
      <c r="F93" s="248"/>
    </row>
  </sheetData>
  <mergeCells count="7">
    <mergeCell ref="F4:G4"/>
    <mergeCell ref="H4:I4"/>
    <mergeCell ref="J4:K4"/>
    <mergeCell ref="L4:M4"/>
    <mergeCell ref="A1:B1"/>
    <mergeCell ref="F3:O3"/>
    <mergeCell ref="N4:O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DA9F-D4D4-4C5A-BD30-C558DA774F72}">
  <dimension ref="A1:O48"/>
  <sheetViews>
    <sheetView zoomScale="77" zoomScaleNormal="85" workbookViewId="0">
      <selection activeCell="F4" sqref="F4:O5"/>
    </sheetView>
  </sheetViews>
  <sheetFormatPr defaultColWidth="9.109375" defaultRowHeight="13.8"/>
  <cols>
    <col min="1" max="1" width="9.109375" style="239"/>
    <col min="2" max="2" width="14.77734375" style="239" customWidth="1"/>
    <col min="3" max="16384" width="9.109375" style="239"/>
  </cols>
  <sheetData>
    <row r="1" spans="1:15" ht="86.4" customHeight="1">
      <c r="A1" s="179" t="s">
        <v>293</v>
      </c>
      <c r="B1" s="180"/>
    </row>
    <row r="3" spans="1:15">
      <c r="A3" s="238" t="s">
        <v>272</v>
      </c>
      <c r="B3" s="238" t="s">
        <v>273</v>
      </c>
      <c r="C3" s="238" t="s">
        <v>274</v>
      </c>
      <c r="D3" s="238" t="s">
        <v>275</v>
      </c>
      <c r="F3" s="240" t="s">
        <v>58</v>
      </c>
      <c r="G3" s="240"/>
      <c r="H3" s="240"/>
      <c r="I3" s="240"/>
      <c r="J3" s="240"/>
      <c r="K3" s="240"/>
      <c r="L3" s="240"/>
      <c r="M3" s="240"/>
      <c r="N3" s="240"/>
      <c r="O3" s="240"/>
    </row>
    <row r="4" spans="1:15">
      <c r="A4" s="52">
        <v>2016</v>
      </c>
      <c r="B4" s="52">
        <v>0.68774397244546526</v>
      </c>
      <c r="C4" s="52">
        <v>2.3039423076923078</v>
      </c>
      <c r="D4" s="238">
        <f t="shared" ref="D4:D16" si="0">B4*$B$21</f>
        <v>60.177597588978209</v>
      </c>
      <c r="F4" s="255" t="s">
        <v>61</v>
      </c>
      <c r="G4" s="256"/>
      <c r="H4" s="257" t="s">
        <v>62</v>
      </c>
      <c r="I4" s="258"/>
      <c r="J4" s="257" t="s">
        <v>63</v>
      </c>
      <c r="K4" s="258"/>
      <c r="L4" s="257" t="s">
        <v>64</v>
      </c>
      <c r="M4" s="258"/>
      <c r="N4" s="242" t="s">
        <v>65</v>
      </c>
      <c r="O4" s="242"/>
    </row>
    <row r="5" spans="1:15" ht="41.4">
      <c r="A5" s="52">
        <v>2020</v>
      </c>
      <c r="B5" s="52">
        <v>0.76143513203214697</v>
      </c>
      <c r="C5" s="52">
        <v>2.5508076923076928</v>
      </c>
      <c r="D5" s="238">
        <f t="shared" si="0"/>
        <v>66.625574052812865</v>
      </c>
      <c r="F5" s="259" t="s">
        <v>276</v>
      </c>
      <c r="G5" s="259" t="s">
        <v>277</v>
      </c>
      <c r="H5" s="259" t="s">
        <v>278</v>
      </c>
      <c r="I5" s="259" t="s">
        <v>277</v>
      </c>
      <c r="J5" s="259" t="s">
        <v>278</v>
      </c>
      <c r="K5" s="259" t="s">
        <v>277</v>
      </c>
      <c r="L5" s="259" t="s">
        <v>278</v>
      </c>
      <c r="M5" s="259" t="s">
        <v>277</v>
      </c>
      <c r="N5" s="259" t="s">
        <v>278</v>
      </c>
      <c r="O5" s="259" t="s">
        <v>277</v>
      </c>
    </row>
    <row r="6" spans="1:15">
      <c r="A6" s="52">
        <v>2017</v>
      </c>
      <c r="B6" s="52">
        <v>0.79105625717566019</v>
      </c>
      <c r="C6" s="52">
        <v>2.650038461538462</v>
      </c>
      <c r="D6" s="238">
        <f t="shared" si="0"/>
        <v>69.217422502870264</v>
      </c>
      <c r="F6" s="238">
        <v>2.3039423076923078</v>
      </c>
      <c r="G6" s="238">
        <f>F6*$B$21/$B$26</f>
        <v>1.9199519230769231</v>
      </c>
      <c r="H6" s="238">
        <v>2.3039423076923078</v>
      </c>
      <c r="I6" s="238">
        <f>(H6*$B$21/$B$26)+0.6</f>
        <v>2.5199519230769232</v>
      </c>
      <c r="J6" s="238">
        <v>2.3039423076923078</v>
      </c>
      <c r="K6" s="238">
        <f>(J6*$B$21/$B$26)+0.75</f>
        <v>2.6699519230769231</v>
      </c>
      <c r="L6" s="238">
        <v>2.3039423076923078</v>
      </c>
      <c r="M6" s="238">
        <f>(L6*$B$21/$B$26)+1.002</f>
        <v>2.9219519230769233</v>
      </c>
      <c r="N6" s="238">
        <v>2.3039423076923078</v>
      </c>
      <c r="O6" s="238">
        <f>(N6*$B$21/$B$26)+3</f>
        <v>4.9199519230769226</v>
      </c>
    </row>
    <row r="7" spans="1:15">
      <c r="A7" s="52">
        <v>2015</v>
      </c>
      <c r="B7" s="52">
        <v>0.8079506314580942</v>
      </c>
      <c r="C7" s="52">
        <v>2.7066346153846146</v>
      </c>
      <c r="D7" s="238">
        <f t="shared" si="0"/>
        <v>70.695680252583244</v>
      </c>
      <c r="F7" s="238">
        <v>2.503942307692308</v>
      </c>
      <c r="G7" s="238">
        <f t="shared" ref="G7:G21" si="1">F7*$B$21/$B$26</f>
        <v>2.08661858974359</v>
      </c>
      <c r="H7" s="238">
        <v>2.503942307692308</v>
      </c>
      <c r="I7" s="238">
        <f t="shared" ref="I7:I21" si="2">(H7*$B$21/$B$26)+0.6</f>
        <v>2.6866185897435901</v>
      </c>
      <c r="J7" s="238">
        <v>2.503942307692308</v>
      </c>
      <c r="K7" s="238">
        <f t="shared" ref="K7:K21" si="3">(J7*$B$21/$B$26)+0.75</f>
        <v>2.83661858974359</v>
      </c>
      <c r="L7" s="238">
        <v>2.503942307692308</v>
      </c>
      <c r="M7" s="238">
        <f t="shared" ref="M7:M21" si="4">(L7*$B$21/$B$26)+1.002</f>
        <v>3.0886185897435903</v>
      </c>
      <c r="N7" s="238">
        <v>2.503942307692308</v>
      </c>
      <c r="O7" s="238">
        <f t="shared" ref="O7:O21" si="5">(N7*$B$21/$B$26)+3</f>
        <v>5.0866185897435905</v>
      </c>
    </row>
    <row r="8" spans="1:15">
      <c r="A8" s="52">
        <v>2010</v>
      </c>
      <c r="B8" s="52">
        <v>0.89300229621125138</v>
      </c>
      <c r="C8" s="52">
        <v>2.9915576923076923</v>
      </c>
      <c r="D8" s="238">
        <f t="shared" si="0"/>
        <v>78.137700918484498</v>
      </c>
      <c r="F8" s="238">
        <v>2.7039423076923081</v>
      </c>
      <c r="G8" s="238">
        <f t="shared" si="1"/>
        <v>2.2532852564102566</v>
      </c>
      <c r="H8" s="238">
        <v>2.7039423076923081</v>
      </c>
      <c r="I8" s="238">
        <f t="shared" si="2"/>
        <v>2.8532852564102567</v>
      </c>
      <c r="J8" s="238">
        <v>2.7039423076923081</v>
      </c>
      <c r="K8" s="238">
        <f t="shared" si="3"/>
        <v>3.0032852564102566</v>
      </c>
      <c r="L8" s="238">
        <v>2.7039423076923081</v>
      </c>
      <c r="M8" s="238">
        <f t="shared" si="4"/>
        <v>3.2552852564102563</v>
      </c>
      <c r="N8" s="238">
        <v>2.7039423076923081</v>
      </c>
      <c r="O8" s="238">
        <f t="shared" si="5"/>
        <v>5.2532852564102566</v>
      </c>
    </row>
    <row r="9" spans="1:15">
      <c r="A9" s="52">
        <v>2019</v>
      </c>
      <c r="B9" s="52">
        <v>0.91218714121699196</v>
      </c>
      <c r="C9" s="52">
        <v>3.0558269230769235</v>
      </c>
      <c r="D9" s="238">
        <f t="shared" si="0"/>
        <v>79.816374856486803</v>
      </c>
      <c r="F9" s="238">
        <v>2.9039423076923083</v>
      </c>
      <c r="G9" s="238">
        <f t="shared" si="1"/>
        <v>2.4199519230769235</v>
      </c>
      <c r="H9" s="238">
        <v>2.9039423076923083</v>
      </c>
      <c r="I9" s="238">
        <f t="shared" si="2"/>
        <v>3.0199519230769236</v>
      </c>
      <c r="J9" s="238">
        <v>2.9039423076923083</v>
      </c>
      <c r="K9" s="238">
        <f t="shared" si="3"/>
        <v>3.1699519230769235</v>
      </c>
      <c r="L9" s="238">
        <v>2.9039423076923083</v>
      </c>
      <c r="M9" s="238">
        <f t="shared" si="4"/>
        <v>3.4219519230769233</v>
      </c>
      <c r="N9" s="238">
        <v>2.9039423076923083</v>
      </c>
      <c r="O9" s="238">
        <f t="shared" si="5"/>
        <v>5.4199519230769235</v>
      </c>
    </row>
    <row r="10" spans="1:15">
      <c r="A10" s="52">
        <v>2018</v>
      </c>
      <c r="B10" s="52">
        <v>0.94854970430864538</v>
      </c>
      <c r="C10" s="52">
        <v>3.1776415094339621</v>
      </c>
      <c r="D10" s="238">
        <f t="shared" si="0"/>
        <v>82.998099127006469</v>
      </c>
      <c r="F10" s="238">
        <v>3.1039423076923085</v>
      </c>
      <c r="G10" s="238">
        <f t="shared" si="1"/>
        <v>2.5866185897435905</v>
      </c>
      <c r="H10" s="238">
        <v>3.1039423076923085</v>
      </c>
      <c r="I10" s="238">
        <f t="shared" si="2"/>
        <v>3.1866185897435906</v>
      </c>
      <c r="J10" s="238">
        <v>3.1039423076923085</v>
      </c>
      <c r="K10" s="238">
        <f t="shared" si="3"/>
        <v>3.3366185897435905</v>
      </c>
      <c r="L10" s="238">
        <v>3.1039423076923085</v>
      </c>
      <c r="M10" s="238">
        <f t="shared" si="4"/>
        <v>3.5886185897435903</v>
      </c>
      <c r="N10" s="238">
        <v>3.1039423076923085</v>
      </c>
      <c r="O10" s="238">
        <f t="shared" si="5"/>
        <v>5.5866185897435905</v>
      </c>
    </row>
    <row r="11" spans="1:15">
      <c r="A11" s="52">
        <v>2021</v>
      </c>
      <c r="B11" s="52">
        <v>0.98111940298507438</v>
      </c>
      <c r="C11" s="52">
        <v>3.2867500000000005</v>
      </c>
      <c r="D11" s="238">
        <f t="shared" si="0"/>
        <v>85.847947761194007</v>
      </c>
      <c r="F11" s="238">
        <v>3.3039423076923087</v>
      </c>
      <c r="G11" s="238">
        <f t="shared" si="1"/>
        <v>2.7532852564102575</v>
      </c>
      <c r="H11" s="238">
        <v>3.3039423076923087</v>
      </c>
      <c r="I11" s="238">
        <f t="shared" si="2"/>
        <v>3.3532852564102575</v>
      </c>
      <c r="J11" s="238">
        <v>3.3039423076923087</v>
      </c>
      <c r="K11" s="238">
        <f t="shared" si="3"/>
        <v>3.5032852564102575</v>
      </c>
      <c r="L11" s="238">
        <v>3.3039423076923087</v>
      </c>
      <c r="M11" s="238">
        <f t="shared" si="4"/>
        <v>3.7552852564102572</v>
      </c>
      <c r="N11" s="238">
        <v>3.3039423076923087</v>
      </c>
      <c r="O11" s="238">
        <f>(N11*$B$21/$B$26)+3</f>
        <v>5.7532852564102575</v>
      </c>
    </row>
    <row r="12" spans="1:15">
      <c r="A12" s="52">
        <v>2014</v>
      </c>
      <c r="B12" s="52">
        <v>1.1416819747416762</v>
      </c>
      <c r="C12" s="52">
        <v>3.8246346153846149</v>
      </c>
      <c r="D12" s="238">
        <f t="shared" si="0"/>
        <v>99.897172789896672</v>
      </c>
      <c r="F12" s="238">
        <v>3.5039423076923089</v>
      </c>
      <c r="G12" s="238">
        <f t="shared" si="1"/>
        <v>2.919951923076924</v>
      </c>
      <c r="H12" s="238">
        <v>3.5039423076923089</v>
      </c>
      <c r="I12" s="238">
        <f t="shared" si="2"/>
        <v>3.5199519230769241</v>
      </c>
      <c r="J12" s="238">
        <v>3.5039423076923089</v>
      </c>
      <c r="K12" s="238">
        <f t="shared" si="3"/>
        <v>3.669951923076924</v>
      </c>
      <c r="L12" s="238">
        <v>3.5039423076923089</v>
      </c>
      <c r="M12" s="238">
        <f t="shared" si="4"/>
        <v>3.9219519230769242</v>
      </c>
      <c r="N12" s="238">
        <v>3.5039423076923089</v>
      </c>
      <c r="O12" s="238">
        <f t="shared" si="5"/>
        <v>5.9199519230769244</v>
      </c>
    </row>
    <row r="13" spans="1:15">
      <c r="A13" s="52">
        <v>2011</v>
      </c>
      <c r="B13" s="52">
        <v>1.1461825487944892</v>
      </c>
      <c r="C13" s="52">
        <v>3.839711538461537</v>
      </c>
      <c r="D13" s="238">
        <f t="shared" si="0"/>
        <v>100.29097301951781</v>
      </c>
      <c r="F13" s="238">
        <v>3.703942307692309</v>
      </c>
      <c r="G13" s="238">
        <f t="shared" si="1"/>
        <v>3.0866185897435905</v>
      </c>
      <c r="H13" s="238">
        <v>3.703942307692309</v>
      </c>
      <c r="I13" s="238">
        <f t="shared" si="2"/>
        <v>3.6866185897435906</v>
      </c>
      <c r="J13" s="238">
        <v>3.703942307692309</v>
      </c>
      <c r="K13" s="238">
        <f t="shared" si="3"/>
        <v>3.8366185897435905</v>
      </c>
      <c r="L13" s="238">
        <v>3.703942307692309</v>
      </c>
      <c r="M13" s="238">
        <f t="shared" si="4"/>
        <v>4.0886185897435903</v>
      </c>
      <c r="N13" s="238">
        <v>3.703942307692309</v>
      </c>
      <c r="O13" s="238">
        <f t="shared" si="5"/>
        <v>6.0866185897435905</v>
      </c>
    </row>
    <row r="14" spans="1:15">
      <c r="A14" s="52">
        <v>2013</v>
      </c>
      <c r="B14" s="52">
        <v>1.1706659012629164</v>
      </c>
      <c r="C14" s="52">
        <v>3.921730769230769</v>
      </c>
      <c r="D14" s="238">
        <f t="shared" si="0"/>
        <v>102.43326636050519</v>
      </c>
      <c r="F14" s="238">
        <v>3.9039423076923092</v>
      </c>
      <c r="G14" s="238">
        <f t="shared" si="1"/>
        <v>3.2532852564102579</v>
      </c>
      <c r="H14" s="238">
        <v>3.9039423076923092</v>
      </c>
      <c r="I14" s="238">
        <f t="shared" si="2"/>
        <v>3.853285256410258</v>
      </c>
      <c r="J14" s="238">
        <v>3.9039423076923092</v>
      </c>
      <c r="K14" s="238">
        <f t="shared" si="3"/>
        <v>4.0032852564102583</v>
      </c>
      <c r="L14" s="238">
        <v>3.9039423076923092</v>
      </c>
      <c r="M14" s="238">
        <f t="shared" si="4"/>
        <v>4.2552852564102581</v>
      </c>
      <c r="N14" s="238">
        <v>3.9039423076923092</v>
      </c>
      <c r="O14" s="238">
        <f t="shared" si="5"/>
        <v>6.2532852564102583</v>
      </c>
    </row>
    <row r="15" spans="1:15">
      <c r="A15" s="52">
        <v>2012</v>
      </c>
      <c r="B15" s="52">
        <v>1.1843987609124187</v>
      </c>
      <c r="C15" s="52">
        <v>3.9677358490566048</v>
      </c>
      <c r="D15" s="238">
        <f t="shared" si="0"/>
        <v>103.63489157983663</v>
      </c>
      <c r="F15" s="238">
        <v>4.1039423076923089</v>
      </c>
      <c r="G15" s="238">
        <f t="shared" si="1"/>
        <v>3.419951923076924</v>
      </c>
      <c r="H15" s="238">
        <v>4.1039423076923089</v>
      </c>
      <c r="I15" s="238">
        <f t="shared" si="2"/>
        <v>4.0199519230769241</v>
      </c>
      <c r="J15" s="238">
        <v>4.1039423076923089</v>
      </c>
      <c r="K15" s="238">
        <f t="shared" si="3"/>
        <v>4.1699519230769244</v>
      </c>
      <c r="L15" s="238">
        <v>4.1039423076923089</v>
      </c>
      <c r="M15" s="238">
        <f t="shared" si="4"/>
        <v>4.4219519230769242</v>
      </c>
      <c r="N15" s="238">
        <v>4.1039423076923089</v>
      </c>
      <c r="O15" s="238">
        <f t="shared" si="5"/>
        <v>6.4199519230769244</v>
      </c>
    </row>
    <row r="16" spans="1:15">
      <c r="A16" s="52">
        <v>2022</v>
      </c>
      <c r="B16" s="52">
        <v>1.4809950248756221</v>
      </c>
      <c r="C16" s="52">
        <v>4.961333333333334</v>
      </c>
      <c r="D16" s="238">
        <f t="shared" si="0"/>
        <v>129.58706467661693</v>
      </c>
      <c r="F16" s="238">
        <v>4.3039423076923091</v>
      </c>
      <c r="G16" s="238">
        <f t="shared" si="1"/>
        <v>3.5866185897435914</v>
      </c>
      <c r="H16" s="238">
        <v>4.3039423076923091</v>
      </c>
      <c r="I16" s="238">
        <f t="shared" si="2"/>
        <v>4.186618589743591</v>
      </c>
      <c r="J16" s="238">
        <v>4.3039423076923091</v>
      </c>
      <c r="K16" s="238">
        <f t="shared" si="3"/>
        <v>4.3366185897435914</v>
      </c>
      <c r="L16" s="238">
        <v>4.3039423076923091</v>
      </c>
      <c r="M16" s="238">
        <f t="shared" si="4"/>
        <v>4.5886185897435912</v>
      </c>
      <c r="N16" s="238">
        <v>4.3039423076923091</v>
      </c>
      <c r="O16" s="238">
        <f t="shared" si="5"/>
        <v>6.5866185897435914</v>
      </c>
    </row>
    <row r="17" spans="1:15">
      <c r="F17" s="238">
        <v>4.5039423076923093</v>
      </c>
      <c r="G17" s="238">
        <f t="shared" si="1"/>
        <v>3.7532852564102579</v>
      </c>
      <c r="H17" s="238">
        <v>4.5039423076923093</v>
      </c>
      <c r="I17" s="238">
        <f t="shared" si="2"/>
        <v>4.353285256410258</v>
      </c>
      <c r="J17" s="238">
        <v>4.5039423076923093</v>
      </c>
      <c r="K17" s="238">
        <f t="shared" si="3"/>
        <v>4.5032852564102583</v>
      </c>
      <c r="L17" s="238">
        <v>4.5039423076923093</v>
      </c>
      <c r="M17" s="238">
        <f t="shared" si="4"/>
        <v>4.7552852564102581</v>
      </c>
      <c r="N17" s="238">
        <v>4.5039423076923093</v>
      </c>
      <c r="O17" s="238">
        <f t="shared" si="5"/>
        <v>6.7532852564102583</v>
      </c>
    </row>
    <row r="18" spans="1:15">
      <c r="F18" s="238">
        <v>4.7039423076923095</v>
      </c>
      <c r="G18" s="238">
        <f t="shared" si="1"/>
        <v>3.9199519230769244</v>
      </c>
      <c r="H18" s="238">
        <v>4.7039423076923095</v>
      </c>
      <c r="I18" s="238">
        <f t="shared" si="2"/>
        <v>4.5199519230769241</v>
      </c>
      <c r="J18" s="238">
        <v>4.7039423076923095</v>
      </c>
      <c r="K18" s="238">
        <f t="shared" si="3"/>
        <v>4.6699519230769244</v>
      </c>
      <c r="L18" s="238">
        <v>4.7039423076923095</v>
      </c>
      <c r="M18" s="238">
        <f t="shared" si="4"/>
        <v>4.9219519230769242</v>
      </c>
      <c r="N18" s="238">
        <v>4.7039423076923095</v>
      </c>
      <c r="O18" s="238">
        <f t="shared" si="5"/>
        <v>6.9199519230769244</v>
      </c>
    </row>
    <row r="19" spans="1:15">
      <c r="F19" s="238">
        <v>4.9039423076923097</v>
      </c>
      <c r="G19" s="238">
        <f t="shared" si="1"/>
        <v>4.0866185897435914</v>
      </c>
      <c r="H19" s="238">
        <v>4.9039423076923097</v>
      </c>
      <c r="I19" s="238">
        <f t="shared" si="2"/>
        <v>4.686618589743591</v>
      </c>
      <c r="J19" s="238">
        <v>4.9039423076923097</v>
      </c>
      <c r="K19" s="238">
        <f t="shared" si="3"/>
        <v>4.8366185897435914</v>
      </c>
      <c r="L19" s="238">
        <v>4.9039423076923097</v>
      </c>
      <c r="M19" s="238">
        <f t="shared" si="4"/>
        <v>5.0886185897435912</v>
      </c>
      <c r="N19" s="238">
        <v>4.9039423076923097</v>
      </c>
      <c r="O19" s="238">
        <f t="shared" si="5"/>
        <v>7.0866185897435914</v>
      </c>
    </row>
    <row r="20" spans="1:15" ht="55.2">
      <c r="A20" s="243" t="s">
        <v>52</v>
      </c>
      <c r="B20" s="243" t="s">
        <v>279</v>
      </c>
      <c r="C20" s="243" t="s">
        <v>280</v>
      </c>
      <c r="D20" s="244"/>
      <c r="E20" s="244"/>
      <c r="F20" s="238">
        <v>5.1039423076923098</v>
      </c>
      <c r="G20" s="238">
        <f t="shared" si="1"/>
        <v>4.2532852564102583</v>
      </c>
      <c r="H20" s="238">
        <v>5.1039423076923098</v>
      </c>
      <c r="I20" s="238">
        <f t="shared" si="2"/>
        <v>4.853285256410258</v>
      </c>
      <c r="J20" s="238">
        <v>5.1039423076923098</v>
      </c>
      <c r="K20" s="238">
        <f t="shared" si="3"/>
        <v>5.0032852564102583</v>
      </c>
      <c r="L20" s="238">
        <v>5.1039423076923098</v>
      </c>
      <c r="M20" s="238">
        <f t="shared" si="4"/>
        <v>5.2552852564102581</v>
      </c>
      <c r="N20" s="238">
        <v>5.1039423076923098</v>
      </c>
      <c r="O20" s="238">
        <f t="shared" si="5"/>
        <v>7.2532852564102583</v>
      </c>
    </row>
    <row r="21" spans="1:15">
      <c r="A21" s="238" t="s">
        <v>281</v>
      </c>
      <c r="B21" s="238">
        <v>87.5</v>
      </c>
      <c r="C21" s="238">
        <v>275.60000000000002</v>
      </c>
      <c r="F21" s="238">
        <v>5.30394230769231</v>
      </c>
      <c r="G21" s="238">
        <f t="shared" si="1"/>
        <v>4.4199519230769253</v>
      </c>
      <c r="H21" s="238">
        <v>5.30394230769231</v>
      </c>
      <c r="I21" s="238">
        <f t="shared" si="2"/>
        <v>5.0199519230769249</v>
      </c>
      <c r="J21" s="238">
        <v>5.30394230769231</v>
      </c>
      <c r="K21" s="238">
        <f t="shared" si="3"/>
        <v>5.1699519230769253</v>
      </c>
      <c r="L21" s="238">
        <v>5.30394230769231</v>
      </c>
      <c r="M21" s="238">
        <f t="shared" si="4"/>
        <v>5.4219519230769251</v>
      </c>
      <c r="N21" s="238">
        <v>5.30394230769231</v>
      </c>
      <c r="O21" s="238">
        <f t="shared" si="5"/>
        <v>7.4199519230769253</v>
      </c>
    </row>
    <row r="22" spans="1:15">
      <c r="A22" s="238">
        <v>4</v>
      </c>
      <c r="B22" s="238">
        <v>105</v>
      </c>
      <c r="C22" s="238">
        <f>4*B22</f>
        <v>420</v>
      </c>
    </row>
    <row r="23" spans="1:15">
      <c r="A23" s="238">
        <v>2.5</v>
      </c>
      <c r="B23" s="238">
        <v>105</v>
      </c>
      <c r="C23" s="238">
        <f>2.5*B23</f>
        <v>262.5</v>
      </c>
    </row>
    <row r="24" spans="1:15">
      <c r="A24" s="238">
        <v>1.5</v>
      </c>
      <c r="B24" s="238">
        <v>105</v>
      </c>
      <c r="C24" s="238">
        <f>1.5*B24</f>
        <v>157.5</v>
      </c>
    </row>
    <row r="25" spans="1:15">
      <c r="A25" s="238">
        <v>0.45</v>
      </c>
      <c r="B25" s="238">
        <v>105</v>
      </c>
      <c r="C25" s="238">
        <f>0.45*B25</f>
        <v>47.25</v>
      </c>
    </row>
    <row r="26" spans="1:15">
      <c r="A26" s="238" t="s">
        <v>282</v>
      </c>
      <c r="B26" s="238">
        <v>105</v>
      </c>
    </row>
    <row r="28" spans="1:15">
      <c r="A28" s="238" t="s">
        <v>272</v>
      </c>
      <c r="B28" s="238" t="s">
        <v>273</v>
      </c>
      <c r="C28" s="238" t="s">
        <v>274</v>
      </c>
      <c r="D28" s="238" t="s">
        <v>275</v>
      </c>
      <c r="E28" s="238" t="s">
        <v>121</v>
      </c>
    </row>
    <row r="29" spans="1:15">
      <c r="A29" s="238">
        <v>2016</v>
      </c>
      <c r="B29" s="238">
        <f>C29/3.35</f>
        <v>0.68774397244546503</v>
      </c>
      <c r="C29" s="245">
        <v>2.3039423076923078</v>
      </c>
      <c r="D29" s="238">
        <f>B29*$B$21</f>
        <v>60.177597588978188</v>
      </c>
      <c r="E29" s="245">
        <f>1000*B29/12.7</f>
        <v>54.153068696493314</v>
      </c>
    </row>
    <row r="30" spans="1:15">
      <c r="A30" s="238">
        <v>2020</v>
      </c>
      <c r="B30" s="238">
        <f t="shared" ref="B30:B44" si="6">C30/3.35</f>
        <v>0.74744546498277853</v>
      </c>
      <c r="C30" s="245">
        <f>C29+0.2</f>
        <v>2.503942307692308</v>
      </c>
      <c r="D30" s="238">
        <f t="shared" ref="D30:D44" si="7">B30*$B$21</f>
        <v>65.401478185993128</v>
      </c>
      <c r="E30" s="245">
        <f t="shared" ref="E30:E44" si="8">1000*B30/12.7</f>
        <v>58.853973620691221</v>
      </c>
    </row>
    <row r="31" spans="1:15">
      <c r="A31" s="238">
        <v>2017</v>
      </c>
      <c r="B31" s="238">
        <f t="shared" si="6"/>
        <v>0.80714695752009191</v>
      </c>
      <c r="C31" s="245">
        <f t="shared" ref="C31:C44" si="9">C30+0.2</f>
        <v>2.7039423076923081</v>
      </c>
      <c r="D31" s="238">
        <f t="shared" si="7"/>
        <v>70.625358783008039</v>
      </c>
      <c r="E31" s="245">
        <f t="shared" si="8"/>
        <v>63.554878544889128</v>
      </c>
    </row>
    <row r="32" spans="1:15">
      <c r="A32" s="238">
        <v>2015</v>
      </c>
      <c r="B32" s="238">
        <f t="shared" si="6"/>
        <v>0.86684845005740541</v>
      </c>
      <c r="C32" s="245">
        <f t="shared" si="9"/>
        <v>2.9039423076923083</v>
      </c>
      <c r="D32" s="238">
        <f t="shared" si="7"/>
        <v>75.849239380022979</v>
      </c>
      <c r="E32" s="245">
        <f t="shared" si="8"/>
        <v>68.255783469087049</v>
      </c>
    </row>
    <row r="33" spans="1:9">
      <c r="A33" s="238">
        <v>2010</v>
      </c>
      <c r="B33" s="238">
        <f t="shared" si="6"/>
        <v>0.9265499425947189</v>
      </c>
      <c r="C33" s="245">
        <f t="shared" si="9"/>
        <v>3.1039423076923085</v>
      </c>
      <c r="D33" s="238">
        <f t="shared" si="7"/>
        <v>81.073119977037905</v>
      </c>
      <c r="E33" s="245">
        <f t="shared" si="8"/>
        <v>72.956688393284963</v>
      </c>
    </row>
    <row r="34" spans="1:9">
      <c r="A34" s="238">
        <v>2019</v>
      </c>
      <c r="B34" s="238">
        <f t="shared" si="6"/>
        <v>0.98625143513203239</v>
      </c>
      <c r="C34" s="245">
        <f t="shared" si="9"/>
        <v>3.3039423076923087</v>
      </c>
      <c r="D34" s="238">
        <f t="shared" si="7"/>
        <v>86.297000574052831</v>
      </c>
      <c r="E34" s="245">
        <f t="shared" si="8"/>
        <v>77.657593317482863</v>
      </c>
    </row>
    <row r="35" spans="1:9">
      <c r="A35" s="238">
        <v>2018</v>
      </c>
      <c r="B35" s="238">
        <f t="shared" si="6"/>
        <v>1.045952927669346</v>
      </c>
      <c r="C35" s="245">
        <f t="shared" si="9"/>
        <v>3.5039423076923089</v>
      </c>
      <c r="D35" s="238">
        <f t="shared" si="7"/>
        <v>91.520881171067771</v>
      </c>
      <c r="E35" s="245">
        <f t="shared" si="8"/>
        <v>82.358498241680792</v>
      </c>
    </row>
    <row r="36" spans="1:9">
      <c r="A36" s="238">
        <v>2021</v>
      </c>
      <c r="B36" s="238">
        <f t="shared" si="6"/>
        <v>1.1056544202066594</v>
      </c>
      <c r="C36" s="245">
        <f t="shared" si="9"/>
        <v>3.703942307692309</v>
      </c>
      <c r="D36" s="238">
        <f t="shared" si="7"/>
        <v>96.744761768082697</v>
      </c>
      <c r="E36" s="245">
        <f t="shared" si="8"/>
        <v>87.059403165878692</v>
      </c>
    </row>
    <row r="37" spans="1:9">
      <c r="A37" s="238">
        <v>2014</v>
      </c>
      <c r="B37" s="238">
        <f t="shared" si="6"/>
        <v>1.1653559127439728</v>
      </c>
      <c r="C37" s="245">
        <f t="shared" si="9"/>
        <v>3.9039423076923092</v>
      </c>
      <c r="D37" s="238">
        <f t="shared" si="7"/>
        <v>101.96864236509762</v>
      </c>
      <c r="E37" s="245">
        <f t="shared" si="8"/>
        <v>91.760308090076606</v>
      </c>
    </row>
    <row r="38" spans="1:9">
      <c r="A38" s="238">
        <v>2011</v>
      </c>
      <c r="B38" s="238">
        <f t="shared" si="6"/>
        <v>1.2250574052812861</v>
      </c>
      <c r="C38" s="245">
        <f t="shared" si="9"/>
        <v>4.1039423076923089</v>
      </c>
      <c r="D38" s="238">
        <f t="shared" si="7"/>
        <v>107.19252296211253</v>
      </c>
      <c r="E38" s="245">
        <f t="shared" si="8"/>
        <v>96.461213014274492</v>
      </c>
    </row>
    <row r="39" spans="1:9">
      <c r="A39" s="238">
        <v>2013</v>
      </c>
      <c r="B39" s="238">
        <f t="shared" si="6"/>
        <v>1.2847588978185998</v>
      </c>
      <c r="C39" s="245">
        <f t="shared" si="9"/>
        <v>4.3039423076923091</v>
      </c>
      <c r="D39" s="238">
        <f t="shared" si="7"/>
        <v>112.41640355912747</v>
      </c>
      <c r="E39" s="245">
        <f t="shared" si="8"/>
        <v>101.16211793847242</v>
      </c>
    </row>
    <row r="40" spans="1:9">
      <c r="A40" s="238">
        <v>2012</v>
      </c>
      <c r="B40" s="238">
        <f t="shared" si="6"/>
        <v>1.3444603903559131</v>
      </c>
      <c r="C40" s="245">
        <f t="shared" si="9"/>
        <v>4.5039423076923093</v>
      </c>
      <c r="D40" s="238">
        <f t="shared" si="7"/>
        <v>117.6402841561424</v>
      </c>
      <c r="E40" s="245">
        <f t="shared" si="8"/>
        <v>105.86302286267033</v>
      </c>
    </row>
    <row r="41" spans="1:9">
      <c r="A41" s="238">
        <v>2022</v>
      </c>
      <c r="B41" s="238">
        <f t="shared" si="6"/>
        <v>1.4041618828932267</v>
      </c>
      <c r="C41" s="245">
        <f t="shared" si="9"/>
        <v>4.7039423076923095</v>
      </c>
      <c r="D41" s="238">
        <f t="shared" si="7"/>
        <v>122.86416475315734</v>
      </c>
      <c r="E41" s="245">
        <f t="shared" si="8"/>
        <v>110.56392778686825</v>
      </c>
    </row>
    <row r="42" spans="1:9">
      <c r="A42" s="238" t="s">
        <v>19</v>
      </c>
      <c r="B42" s="238">
        <f t="shared" si="6"/>
        <v>1.4638633754305401</v>
      </c>
      <c r="C42" s="245">
        <f t="shared" si="9"/>
        <v>4.9039423076923097</v>
      </c>
      <c r="D42" s="238">
        <f t="shared" si="7"/>
        <v>128.08804535017225</v>
      </c>
      <c r="E42" s="245">
        <f t="shared" si="8"/>
        <v>115.26483271106616</v>
      </c>
    </row>
    <row r="43" spans="1:9">
      <c r="A43" s="238" t="s">
        <v>19</v>
      </c>
      <c r="B43" s="238">
        <f t="shared" si="6"/>
        <v>1.5235648679678537</v>
      </c>
      <c r="C43" s="245">
        <f t="shared" si="9"/>
        <v>5.1039423076923098</v>
      </c>
      <c r="D43" s="238">
        <f t="shared" si="7"/>
        <v>133.31192594718721</v>
      </c>
      <c r="E43" s="245">
        <f t="shared" si="8"/>
        <v>119.96573763526409</v>
      </c>
    </row>
    <row r="44" spans="1:9">
      <c r="A44" s="238" t="s">
        <v>19</v>
      </c>
      <c r="B44" s="238">
        <f t="shared" si="6"/>
        <v>1.5832663605051671</v>
      </c>
      <c r="C44" s="245">
        <f t="shared" si="9"/>
        <v>5.30394230769231</v>
      </c>
      <c r="D44" s="238">
        <f t="shared" si="7"/>
        <v>138.53580654420213</v>
      </c>
      <c r="E44" s="245">
        <f t="shared" si="8"/>
        <v>124.66664255946198</v>
      </c>
    </row>
    <row r="48" spans="1:9">
      <c r="I48" s="254"/>
    </row>
  </sheetData>
  <mergeCells count="7">
    <mergeCell ref="F3:O3"/>
    <mergeCell ref="N4:O4"/>
    <mergeCell ref="A1:B1"/>
    <mergeCell ref="F4:G4"/>
    <mergeCell ref="H4:I4"/>
    <mergeCell ref="J4:K4"/>
    <mergeCell ref="L4:M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35615-DEE8-4362-AF7B-CCA698AA989F}">
  <dimension ref="A1:V55"/>
  <sheetViews>
    <sheetView zoomScale="91" zoomScaleNormal="85" workbookViewId="0">
      <selection activeCell="F4" sqref="F4:N5"/>
    </sheetView>
  </sheetViews>
  <sheetFormatPr defaultColWidth="9.109375" defaultRowHeight="13.8"/>
  <cols>
    <col min="1" max="1" width="9.109375" style="239"/>
    <col min="2" max="2" width="12.33203125" style="239" customWidth="1"/>
    <col min="3" max="16384" width="9.109375" style="239"/>
  </cols>
  <sheetData>
    <row r="1" spans="1:14" ht="90.6" customHeight="1">
      <c r="A1" s="179" t="s">
        <v>294</v>
      </c>
      <c r="B1" s="180"/>
    </row>
    <row r="3" spans="1:14">
      <c r="A3" s="238" t="s">
        <v>272</v>
      </c>
      <c r="B3" s="238" t="s">
        <v>273</v>
      </c>
      <c r="C3" s="238" t="s">
        <v>274</v>
      </c>
      <c r="D3" s="238" t="s">
        <v>275</v>
      </c>
      <c r="F3" s="250" t="s">
        <v>58</v>
      </c>
      <c r="G3" s="251"/>
      <c r="H3" s="251"/>
      <c r="I3" s="251"/>
      <c r="J3" s="251"/>
      <c r="K3" s="251"/>
      <c r="L3" s="251"/>
      <c r="M3" s="251"/>
      <c r="N3" s="251"/>
    </row>
    <row r="4" spans="1:14">
      <c r="A4" s="238">
        <v>2016</v>
      </c>
      <c r="B4" s="238">
        <v>0.68774397244546526</v>
      </c>
      <c r="C4" s="52">
        <v>2.3039423076923078</v>
      </c>
      <c r="D4" s="238">
        <f>B4*$B$21</f>
        <v>60.177597588978209</v>
      </c>
      <c r="F4" s="260" t="s">
        <v>297</v>
      </c>
      <c r="G4" s="261"/>
      <c r="H4" s="260" t="s">
        <v>298</v>
      </c>
      <c r="I4" s="261"/>
      <c r="J4" s="260" t="s">
        <v>299</v>
      </c>
      <c r="K4" s="261"/>
      <c r="L4" s="260" t="s">
        <v>300</v>
      </c>
      <c r="M4" s="261"/>
      <c r="N4" s="262"/>
    </row>
    <row r="5" spans="1:14" ht="41.4">
      <c r="A5" s="238">
        <v>2020</v>
      </c>
      <c r="B5" s="238">
        <v>0.76143513203214697</v>
      </c>
      <c r="C5" s="52">
        <v>2.5508076923076928</v>
      </c>
      <c r="D5" s="238">
        <f>B5*$B$21</f>
        <v>66.625574052812865</v>
      </c>
      <c r="F5" s="259" t="s">
        <v>276</v>
      </c>
      <c r="G5" s="259" t="s">
        <v>277</v>
      </c>
      <c r="H5" s="259" t="s">
        <v>285</v>
      </c>
      <c r="I5" s="259" t="s">
        <v>277</v>
      </c>
      <c r="J5" s="259" t="s">
        <v>285</v>
      </c>
      <c r="K5" s="259" t="s">
        <v>277</v>
      </c>
      <c r="L5" s="259" t="s">
        <v>285</v>
      </c>
      <c r="M5" s="259" t="s">
        <v>277</v>
      </c>
      <c r="N5" s="263" t="s">
        <v>55</v>
      </c>
    </row>
    <row r="6" spans="1:14">
      <c r="A6" s="238">
        <v>2017</v>
      </c>
      <c r="B6" s="238">
        <v>0.79105625717566019</v>
      </c>
      <c r="C6" s="52">
        <v>2.650038461538462</v>
      </c>
      <c r="D6" s="238">
        <f t="shared" ref="D6:D16" si="0">B6*$B$21</f>
        <v>69.217422502870264</v>
      </c>
      <c r="F6" s="245">
        <v>2.3039423076923078</v>
      </c>
      <c r="G6" s="238">
        <f>F6*$B$21/$B$26</f>
        <v>2.8799278846153848</v>
      </c>
      <c r="H6" s="245">
        <v>2.3039423076923078</v>
      </c>
      <c r="I6" s="238">
        <f>(0.06*($C$21-$C$25)+H6*$B$21)/$B$26</f>
        <v>3.0891564560439559</v>
      </c>
      <c r="J6" s="245">
        <v>2.3039423076923078</v>
      </c>
      <c r="K6" s="238">
        <f>(0.1*($C$21-$C$25)+H6*$B$21)/$B$26</f>
        <v>3.2286421703296706</v>
      </c>
      <c r="L6" s="245">
        <v>2.3039423076923078</v>
      </c>
      <c r="M6" s="238">
        <f>(0.25*($C$21-$C$25)+H6*$B$21)/$B$26</f>
        <v>3.751713598901099</v>
      </c>
      <c r="N6" s="238">
        <f>1000*M6/33.33</f>
        <v>112.56266423345632</v>
      </c>
    </row>
    <row r="7" spans="1:14">
      <c r="A7" s="238">
        <v>2015</v>
      </c>
      <c r="B7" s="238">
        <v>0.8079506314580942</v>
      </c>
      <c r="C7" s="52">
        <v>2.7066346153846146</v>
      </c>
      <c r="D7" s="238">
        <f t="shared" si="0"/>
        <v>70.695680252583244</v>
      </c>
      <c r="F7" s="245">
        <f>F6+0.2</f>
        <v>2.503942307692308</v>
      </c>
      <c r="G7" s="238">
        <f t="shared" ref="G7:G21" si="1">F7*$B$21/$B$26</f>
        <v>3.1299278846153848</v>
      </c>
      <c r="H7" s="245">
        <f>H6+0.2</f>
        <v>2.503942307692308</v>
      </c>
      <c r="I7" s="238">
        <f t="shared" ref="I7:I21" si="2">(0.06*($C$21-$C$25)+H7*$B$21)/$B$26</f>
        <v>3.3391564560439559</v>
      </c>
      <c r="J7" s="245">
        <f>J6+0.2</f>
        <v>2.503942307692308</v>
      </c>
      <c r="K7" s="238">
        <f t="shared" ref="K7:K21" si="3">(0.1*($C$21-$C$25)+H7*$B$21)/$B$26</f>
        <v>3.4786421703296706</v>
      </c>
      <c r="L7" s="245">
        <f>L6+0.2</f>
        <v>2.503942307692308</v>
      </c>
      <c r="M7" s="238">
        <f t="shared" ref="M7:M21" si="4">(0.25*($C$21-$C$25)+H7*$B$21)/$B$26</f>
        <v>4.001713598901099</v>
      </c>
      <c r="N7" s="238">
        <f t="shared" ref="N7:N21" si="5">1000*M7/33.33</f>
        <v>120.06341430846382</v>
      </c>
    </row>
    <row r="8" spans="1:14">
      <c r="A8" s="238">
        <v>2010</v>
      </c>
      <c r="B8" s="238">
        <v>0.89300229621125138</v>
      </c>
      <c r="C8" s="52">
        <v>2.9915576923076923</v>
      </c>
      <c r="D8" s="238">
        <f t="shared" si="0"/>
        <v>78.137700918484498</v>
      </c>
      <c r="F8" s="245">
        <f t="shared" ref="F8:F21" si="6">F7+0.2</f>
        <v>2.7039423076923081</v>
      </c>
      <c r="G8" s="238">
        <f t="shared" si="1"/>
        <v>3.3799278846153853</v>
      </c>
      <c r="H8" s="245">
        <f t="shared" ref="H8:H21" si="7">H7+0.2</f>
        <v>2.7039423076923081</v>
      </c>
      <c r="I8" s="238">
        <f t="shared" si="2"/>
        <v>3.5891564560439568</v>
      </c>
      <c r="J8" s="245">
        <f t="shared" ref="J8:J21" si="8">J7+0.2</f>
        <v>2.7039423076923081</v>
      </c>
      <c r="K8" s="238">
        <f t="shared" si="3"/>
        <v>3.728642170329671</v>
      </c>
      <c r="L8" s="245">
        <f t="shared" ref="L8:L21" si="9">L7+0.2</f>
        <v>2.7039423076923081</v>
      </c>
      <c r="M8" s="238">
        <f t="shared" si="4"/>
        <v>4.2517135989010999</v>
      </c>
      <c r="N8" s="238">
        <f t="shared" si="5"/>
        <v>127.56416438347136</v>
      </c>
    </row>
    <row r="9" spans="1:14">
      <c r="A9" s="238">
        <v>2019</v>
      </c>
      <c r="B9" s="238">
        <v>0.91218714121699196</v>
      </c>
      <c r="C9" s="52">
        <v>3.0558269230769235</v>
      </c>
      <c r="D9" s="238">
        <f t="shared" si="0"/>
        <v>79.816374856486803</v>
      </c>
      <c r="F9" s="245">
        <f t="shared" si="6"/>
        <v>2.9039423076923083</v>
      </c>
      <c r="G9" s="238">
        <f t="shared" si="1"/>
        <v>3.6299278846153857</v>
      </c>
      <c r="H9" s="245">
        <f t="shared" si="7"/>
        <v>2.9039423076923083</v>
      </c>
      <c r="I9" s="238">
        <f t="shared" si="2"/>
        <v>3.8391564560439568</v>
      </c>
      <c r="J9" s="245">
        <f t="shared" si="8"/>
        <v>2.9039423076923083</v>
      </c>
      <c r="K9" s="238">
        <f t="shared" si="3"/>
        <v>3.978642170329671</v>
      </c>
      <c r="L9" s="245">
        <f t="shared" si="9"/>
        <v>2.9039423076923083</v>
      </c>
      <c r="M9" s="238">
        <f t="shared" si="4"/>
        <v>4.5017135989010999</v>
      </c>
      <c r="N9" s="238">
        <f t="shared" si="5"/>
        <v>135.06491445847885</v>
      </c>
    </row>
    <row r="10" spans="1:14">
      <c r="A10" s="238">
        <v>2018</v>
      </c>
      <c r="B10" s="238">
        <v>0.94854970430864538</v>
      </c>
      <c r="C10" s="52">
        <v>3.1776415094339621</v>
      </c>
      <c r="D10" s="238">
        <f t="shared" si="0"/>
        <v>82.998099127006469</v>
      </c>
      <c r="F10" s="245">
        <f t="shared" si="6"/>
        <v>3.1039423076923085</v>
      </c>
      <c r="G10" s="238">
        <f t="shared" si="1"/>
        <v>3.8799278846153862</v>
      </c>
      <c r="H10" s="245">
        <f t="shared" si="7"/>
        <v>3.1039423076923085</v>
      </c>
      <c r="I10" s="238">
        <f t="shared" si="2"/>
        <v>4.0891564560439573</v>
      </c>
      <c r="J10" s="245">
        <f t="shared" si="8"/>
        <v>3.1039423076923085</v>
      </c>
      <c r="K10" s="238">
        <f t="shared" si="3"/>
        <v>4.2286421703296719</v>
      </c>
      <c r="L10" s="245">
        <f t="shared" si="9"/>
        <v>3.1039423076923085</v>
      </c>
      <c r="M10" s="238">
        <f t="shared" si="4"/>
        <v>4.7517135989010999</v>
      </c>
      <c r="N10" s="238">
        <f t="shared" si="5"/>
        <v>142.56566453348637</v>
      </c>
    </row>
    <row r="11" spans="1:14">
      <c r="A11" s="238">
        <v>2021</v>
      </c>
      <c r="B11" s="238">
        <v>0.98111940298507438</v>
      </c>
      <c r="C11" s="52">
        <v>3.2867500000000005</v>
      </c>
      <c r="D11" s="238">
        <f t="shared" si="0"/>
        <v>85.847947761194007</v>
      </c>
      <c r="F11" s="245">
        <f t="shared" si="6"/>
        <v>3.3039423076923087</v>
      </c>
      <c r="G11" s="238">
        <f t="shared" si="1"/>
        <v>4.1299278846153857</v>
      </c>
      <c r="H11" s="245">
        <f t="shared" si="7"/>
        <v>3.3039423076923087</v>
      </c>
      <c r="I11" s="238">
        <f t="shared" si="2"/>
        <v>4.3391564560439573</v>
      </c>
      <c r="J11" s="245">
        <f t="shared" si="8"/>
        <v>3.3039423076923087</v>
      </c>
      <c r="K11" s="238">
        <f t="shared" si="3"/>
        <v>4.4786421703296719</v>
      </c>
      <c r="L11" s="245">
        <f t="shared" si="9"/>
        <v>3.3039423076923087</v>
      </c>
      <c r="M11" s="238">
        <f t="shared" si="4"/>
        <v>5.0017135989010999</v>
      </c>
      <c r="N11" s="238">
        <f t="shared" si="5"/>
        <v>150.06641460849386</v>
      </c>
    </row>
    <row r="12" spans="1:14">
      <c r="A12" s="238">
        <v>2014</v>
      </c>
      <c r="B12" s="238">
        <v>1.1416819747416762</v>
      </c>
      <c r="C12" s="52">
        <v>3.8246346153846149</v>
      </c>
      <c r="D12" s="238">
        <f t="shared" si="0"/>
        <v>99.897172789896672</v>
      </c>
      <c r="F12" s="245">
        <f t="shared" si="6"/>
        <v>3.5039423076923089</v>
      </c>
      <c r="G12" s="238">
        <f t="shared" si="1"/>
        <v>4.3799278846153857</v>
      </c>
      <c r="H12" s="245">
        <f t="shared" si="7"/>
        <v>3.5039423076923089</v>
      </c>
      <c r="I12" s="238">
        <f t="shared" si="2"/>
        <v>4.5891564560439573</v>
      </c>
      <c r="J12" s="245">
        <f t="shared" si="8"/>
        <v>3.5039423076923089</v>
      </c>
      <c r="K12" s="238">
        <f t="shared" si="3"/>
        <v>4.7286421703296719</v>
      </c>
      <c r="L12" s="245">
        <f t="shared" si="9"/>
        <v>3.5039423076923089</v>
      </c>
      <c r="M12" s="238">
        <f t="shared" si="4"/>
        <v>5.2517135989010999</v>
      </c>
      <c r="N12" s="238">
        <f t="shared" si="5"/>
        <v>157.56716468350137</v>
      </c>
    </row>
    <row r="13" spans="1:14">
      <c r="A13" s="238">
        <v>2011</v>
      </c>
      <c r="B13" s="238">
        <v>1.1461825487944892</v>
      </c>
      <c r="C13" s="52">
        <v>3.839711538461537</v>
      </c>
      <c r="D13" s="238">
        <f t="shared" si="0"/>
        <v>100.29097301951781</v>
      </c>
      <c r="F13" s="245">
        <f t="shared" si="6"/>
        <v>3.703942307692309</v>
      </c>
      <c r="G13" s="238">
        <f t="shared" si="1"/>
        <v>4.6299278846153857</v>
      </c>
      <c r="H13" s="245">
        <f t="shared" si="7"/>
        <v>3.703942307692309</v>
      </c>
      <c r="I13" s="238">
        <f t="shared" si="2"/>
        <v>4.8391564560439573</v>
      </c>
      <c r="J13" s="245">
        <f t="shared" si="8"/>
        <v>3.703942307692309</v>
      </c>
      <c r="K13" s="238">
        <f t="shared" si="3"/>
        <v>4.9786421703296719</v>
      </c>
      <c r="L13" s="245">
        <f t="shared" si="9"/>
        <v>3.703942307692309</v>
      </c>
      <c r="M13" s="238">
        <f t="shared" si="4"/>
        <v>5.5017135989010999</v>
      </c>
      <c r="N13" s="238">
        <f t="shared" si="5"/>
        <v>165.06791475850886</v>
      </c>
    </row>
    <row r="14" spans="1:14">
      <c r="A14" s="238">
        <v>2013</v>
      </c>
      <c r="B14" s="238">
        <v>1.1706659012629164</v>
      </c>
      <c r="C14" s="52">
        <v>3.921730769230769</v>
      </c>
      <c r="D14" s="238">
        <f t="shared" si="0"/>
        <v>102.43326636050519</v>
      </c>
      <c r="F14" s="245">
        <f t="shared" si="6"/>
        <v>3.9039423076923092</v>
      </c>
      <c r="G14" s="238">
        <f t="shared" si="1"/>
        <v>4.8799278846153866</v>
      </c>
      <c r="H14" s="245">
        <f t="shared" si="7"/>
        <v>3.9039423076923092</v>
      </c>
      <c r="I14" s="238">
        <f t="shared" si="2"/>
        <v>5.0891564560439582</v>
      </c>
      <c r="J14" s="245">
        <f t="shared" si="8"/>
        <v>3.9039423076923092</v>
      </c>
      <c r="K14" s="238">
        <f t="shared" si="3"/>
        <v>5.2286421703296728</v>
      </c>
      <c r="L14" s="245">
        <f t="shared" si="9"/>
        <v>3.9039423076923092</v>
      </c>
      <c r="M14" s="238">
        <f t="shared" si="4"/>
        <v>5.7517135989011017</v>
      </c>
      <c r="N14" s="238">
        <f t="shared" si="5"/>
        <v>172.56866483351641</v>
      </c>
    </row>
    <row r="15" spans="1:14">
      <c r="A15" s="238">
        <v>2012</v>
      </c>
      <c r="B15" s="238">
        <v>1.1843987609124187</v>
      </c>
      <c r="C15" s="52">
        <v>3.9677358490566048</v>
      </c>
      <c r="D15" s="238">
        <f t="shared" si="0"/>
        <v>103.63489157983663</v>
      </c>
      <c r="F15" s="245">
        <f t="shared" si="6"/>
        <v>4.1039423076923089</v>
      </c>
      <c r="G15" s="238">
        <f t="shared" si="1"/>
        <v>5.1299278846153857</v>
      </c>
      <c r="H15" s="245">
        <f t="shared" si="7"/>
        <v>4.1039423076923089</v>
      </c>
      <c r="I15" s="238">
        <f t="shared" si="2"/>
        <v>5.3391564560439573</v>
      </c>
      <c r="J15" s="245">
        <f t="shared" si="8"/>
        <v>4.1039423076923089</v>
      </c>
      <c r="K15" s="238">
        <f t="shared" si="3"/>
        <v>5.4786421703296719</v>
      </c>
      <c r="L15" s="245">
        <f t="shared" si="9"/>
        <v>4.1039423076923089</v>
      </c>
      <c r="M15" s="238">
        <f>(0.25*($C$21-$C$25)+H15*$B$21)/$B$26</f>
        <v>6.0017135989010999</v>
      </c>
      <c r="N15" s="238">
        <f t="shared" si="5"/>
        <v>180.06941490852387</v>
      </c>
    </row>
    <row r="16" spans="1:14">
      <c r="A16" s="238">
        <v>2022</v>
      </c>
      <c r="B16" s="238">
        <v>1.4809950248756221</v>
      </c>
      <c r="C16" s="52">
        <v>4.961333333333334</v>
      </c>
      <c r="D16" s="238">
        <f t="shared" si="0"/>
        <v>129.58706467661693</v>
      </c>
      <c r="F16" s="245">
        <f t="shared" si="6"/>
        <v>4.3039423076923091</v>
      </c>
      <c r="G16" s="238">
        <f t="shared" si="1"/>
        <v>5.3799278846153866</v>
      </c>
      <c r="H16" s="245">
        <f t="shared" si="7"/>
        <v>4.3039423076923091</v>
      </c>
      <c r="I16" s="238">
        <f t="shared" si="2"/>
        <v>5.5891564560439582</v>
      </c>
      <c r="J16" s="245">
        <f t="shared" si="8"/>
        <v>4.3039423076923091</v>
      </c>
      <c r="K16" s="238">
        <f t="shared" si="3"/>
        <v>5.7286421703296728</v>
      </c>
      <c r="L16" s="245">
        <f t="shared" si="9"/>
        <v>4.3039423076923091</v>
      </c>
      <c r="M16" s="238">
        <f t="shared" si="4"/>
        <v>6.2517135989011017</v>
      </c>
      <c r="N16" s="238">
        <f t="shared" si="5"/>
        <v>187.57016498353141</v>
      </c>
    </row>
    <row r="17" spans="1:22">
      <c r="F17" s="245">
        <f t="shared" si="6"/>
        <v>4.5039423076923093</v>
      </c>
      <c r="G17" s="238">
        <f t="shared" si="1"/>
        <v>5.6299278846153866</v>
      </c>
      <c r="H17" s="245">
        <f t="shared" si="7"/>
        <v>4.5039423076923093</v>
      </c>
      <c r="I17" s="238">
        <f t="shared" si="2"/>
        <v>5.8391564560439582</v>
      </c>
      <c r="J17" s="245">
        <f t="shared" si="8"/>
        <v>4.5039423076923093</v>
      </c>
      <c r="K17" s="238">
        <f t="shared" si="3"/>
        <v>5.9786421703296728</v>
      </c>
      <c r="L17" s="245">
        <f t="shared" si="9"/>
        <v>4.5039423076923093</v>
      </c>
      <c r="M17" s="238">
        <f t="shared" si="4"/>
        <v>6.5017135989011017</v>
      </c>
      <c r="N17" s="238">
        <f t="shared" si="5"/>
        <v>195.0709150585389</v>
      </c>
    </row>
    <row r="18" spans="1:22">
      <c r="F18" s="245">
        <f t="shared" si="6"/>
        <v>4.7039423076923095</v>
      </c>
      <c r="G18" s="238">
        <f t="shared" si="1"/>
        <v>5.8799278846153866</v>
      </c>
      <c r="H18" s="245">
        <f t="shared" si="7"/>
        <v>4.7039423076923095</v>
      </c>
      <c r="I18" s="238">
        <f t="shared" si="2"/>
        <v>6.0891564560439582</v>
      </c>
      <c r="J18" s="245">
        <f t="shared" si="8"/>
        <v>4.7039423076923095</v>
      </c>
      <c r="K18" s="238">
        <f t="shared" si="3"/>
        <v>6.2286421703296728</v>
      </c>
      <c r="L18" s="245">
        <f t="shared" si="9"/>
        <v>4.7039423076923095</v>
      </c>
      <c r="M18" s="238">
        <f t="shared" si="4"/>
        <v>6.7517135989011017</v>
      </c>
      <c r="N18" s="238">
        <f t="shared" si="5"/>
        <v>202.57166513354639</v>
      </c>
    </row>
    <row r="19" spans="1:22">
      <c r="F19" s="245">
        <f t="shared" si="6"/>
        <v>4.9039423076923097</v>
      </c>
      <c r="G19" s="238">
        <f t="shared" si="1"/>
        <v>6.1299278846153866</v>
      </c>
      <c r="H19" s="245">
        <f t="shared" si="7"/>
        <v>4.9039423076923097</v>
      </c>
      <c r="I19" s="238">
        <f t="shared" si="2"/>
        <v>6.3391564560439582</v>
      </c>
      <c r="J19" s="245">
        <f t="shared" si="8"/>
        <v>4.9039423076923097</v>
      </c>
      <c r="K19" s="238">
        <f t="shared" si="3"/>
        <v>6.4786421703296728</v>
      </c>
      <c r="L19" s="245">
        <f t="shared" si="9"/>
        <v>4.9039423076923097</v>
      </c>
      <c r="M19" s="238">
        <f t="shared" si="4"/>
        <v>7.0017135989011017</v>
      </c>
      <c r="N19" s="238">
        <f t="shared" si="5"/>
        <v>210.07241520855391</v>
      </c>
    </row>
    <row r="20" spans="1:22" ht="55.2">
      <c r="A20" s="243" t="s">
        <v>52</v>
      </c>
      <c r="B20" s="243" t="s">
        <v>279</v>
      </c>
      <c r="C20" s="243" t="s">
        <v>280</v>
      </c>
      <c r="D20" s="244"/>
      <c r="E20" s="244"/>
      <c r="F20" s="245">
        <f t="shared" si="6"/>
        <v>5.1039423076923098</v>
      </c>
      <c r="G20" s="238">
        <f t="shared" si="1"/>
        <v>6.3799278846153875</v>
      </c>
      <c r="H20" s="245">
        <f t="shared" si="7"/>
        <v>5.1039423076923098</v>
      </c>
      <c r="I20" s="238">
        <f t="shared" si="2"/>
        <v>6.5891564560439591</v>
      </c>
      <c r="J20" s="245">
        <f t="shared" si="8"/>
        <v>5.1039423076923098</v>
      </c>
      <c r="K20" s="238">
        <f t="shared" si="3"/>
        <v>6.7286421703296737</v>
      </c>
      <c r="L20" s="245">
        <f t="shared" si="9"/>
        <v>5.1039423076923098</v>
      </c>
      <c r="M20" s="238">
        <f t="shared" si="4"/>
        <v>7.2517135989011017</v>
      </c>
      <c r="N20" s="238">
        <f t="shared" si="5"/>
        <v>217.57316528356139</v>
      </c>
    </row>
    <row r="21" spans="1:22">
      <c r="A21" s="238" t="s">
        <v>281</v>
      </c>
      <c r="B21" s="238">
        <v>87.5</v>
      </c>
      <c r="C21" s="238">
        <v>275.60000000000002</v>
      </c>
      <c r="F21" s="245">
        <f t="shared" si="6"/>
        <v>5.30394230769231</v>
      </c>
      <c r="G21" s="238">
        <f t="shared" si="1"/>
        <v>6.6299278846153875</v>
      </c>
      <c r="H21" s="245">
        <f t="shared" si="7"/>
        <v>5.30394230769231</v>
      </c>
      <c r="I21" s="238">
        <f t="shared" si="2"/>
        <v>6.8391564560439591</v>
      </c>
      <c r="J21" s="245">
        <f t="shared" si="8"/>
        <v>5.30394230769231</v>
      </c>
      <c r="K21" s="238">
        <f t="shared" si="3"/>
        <v>6.9786421703296737</v>
      </c>
      <c r="L21" s="245">
        <f t="shared" si="9"/>
        <v>5.30394230769231</v>
      </c>
      <c r="M21" s="238">
        <f t="shared" si="4"/>
        <v>7.5017135989011017</v>
      </c>
      <c r="N21" s="238">
        <f t="shared" si="5"/>
        <v>225.07391535856891</v>
      </c>
    </row>
    <row r="22" spans="1:22">
      <c r="A22" s="238">
        <v>4</v>
      </c>
      <c r="B22" s="238">
        <v>70</v>
      </c>
      <c r="C22" s="247">
        <f>4*B22</f>
        <v>280</v>
      </c>
    </row>
    <row r="23" spans="1:22">
      <c r="A23" s="238">
        <v>2.5</v>
      </c>
      <c r="B23" s="238">
        <v>70</v>
      </c>
      <c r="C23" s="247">
        <f>2.5*B23</f>
        <v>175</v>
      </c>
    </row>
    <row r="24" spans="1:22">
      <c r="A24" s="238">
        <v>1.5</v>
      </c>
      <c r="B24" s="238">
        <v>70</v>
      </c>
      <c r="C24" s="247">
        <f>1.5*B24</f>
        <v>105</v>
      </c>
    </row>
    <row r="25" spans="1:22">
      <c r="A25" s="238">
        <v>0.45</v>
      </c>
      <c r="B25" s="238">
        <v>70</v>
      </c>
      <c r="C25" s="247">
        <f>0.45*B25</f>
        <v>31.5</v>
      </c>
    </row>
    <row r="26" spans="1:22">
      <c r="A26" s="238" t="s">
        <v>282</v>
      </c>
      <c r="B26" s="238">
        <v>70</v>
      </c>
    </row>
    <row r="27" spans="1:22">
      <c r="F27" s="52" t="s">
        <v>57</v>
      </c>
      <c r="G27" s="52">
        <v>3</v>
      </c>
      <c r="H27" s="52">
        <v>4</v>
      </c>
      <c r="I27" s="52">
        <v>5</v>
      </c>
      <c r="J27" s="52">
        <v>6</v>
      </c>
      <c r="K27" s="52">
        <v>7</v>
      </c>
      <c r="L27" s="52">
        <v>8</v>
      </c>
      <c r="M27" s="52">
        <v>9</v>
      </c>
      <c r="N27" s="52">
        <v>10</v>
      </c>
      <c r="O27" s="52">
        <v>11</v>
      </c>
      <c r="P27" s="52">
        <v>12</v>
      </c>
      <c r="Q27" s="52">
        <v>13</v>
      </c>
      <c r="R27" s="52">
        <v>14</v>
      </c>
      <c r="S27" s="52">
        <v>15</v>
      </c>
      <c r="T27" s="238">
        <v>16</v>
      </c>
      <c r="U27" s="238">
        <v>17</v>
      </c>
      <c r="V27" s="238">
        <v>18</v>
      </c>
    </row>
    <row r="28" spans="1:22">
      <c r="F28" s="241" t="s">
        <v>278</v>
      </c>
      <c r="G28" s="238">
        <v>60.177597588978188</v>
      </c>
      <c r="H28" s="238">
        <v>65.401478185993128</v>
      </c>
      <c r="I28" s="238">
        <v>70.625358783008039</v>
      </c>
      <c r="J28" s="238">
        <v>75.849239380022979</v>
      </c>
      <c r="K28" s="238">
        <v>81.073119977037905</v>
      </c>
      <c r="L28" s="238">
        <v>86.297000574052831</v>
      </c>
      <c r="M28" s="238">
        <v>91.520881171067771</v>
      </c>
      <c r="N28" s="238">
        <v>96.744761768082697</v>
      </c>
      <c r="O28" s="238">
        <v>101.96864236509762</v>
      </c>
      <c r="P28" s="238">
        <v>107.19252296211253</v>
      </c>
      <c r="Q28" s="238">
        <v>112.41640355912747</v>
      </c>
      <c r="R28" s="238">
        <v>117.6402841561424</v>
      </c>
      <c r="S28" s="238">
        <v>122.86416475315734</v>
      </c>
      <c r="T28" s="238">
        <v>128.08804535017225</v>
      </c>
      <c r="U28" s="238">
        <v>133.31192594718721</v>
      </c>
      <c r="V28" s="238">
        <v>138.53580654420213</v>
      </c>
    </row>
    <row r="29" spans="1:22">
      <c r="F29" s="252" t="s">
        <v>122</v>
      </c>
      <c r="G29" s="238">
        <v>2.8799278846153848</v>
      </c>
      <c r="H29" s="238">
        <v>3.1299278846153848</v>
      </c>
      <c r="I29" s="238">
        <v>3.3799278846153853</v>
      </c>
      <c r="J29" s="238">
        <v>3.6299278846153857</v>
      </c>
      <c r="K29" s="238">
        <v>3.8799278846153862</v>
      </c>
      <c r="L29" s="238">
        <v>4.1299278846153857</v>
      </c>
      <c r="M29" s="238">
        <v>4.3799278846153857</v>
      </c>
      <c r="N29" s="238">
        <v>4.6299278846153857</v>
      </c>
      <c r="O29" s="238">
        <v>4.8799278846153866</v>
      </c>
      <c r="P29" s="238">
        <v>5.1299278846153857</v>
      </c>
      <c r="Q29" s="238">
        <v>5.3799278846153866</v>
      </c>
      <c r="R29" s="238">
        <v>5.6299278846153866</v>
      </c>
      <c r="S29" s="238">
        <v>5.8799278846153866</v>
      </c>
      <c r="T29" s="238">
        <v>6.1299278846153866</v>
      </c>
      <c r="U29" s="238">
        <v>6.3799278846153875</v>
      </c>
      <c r="V29" s="238">
        <v>6.6299278846153875</v>
      </c>
    </row>
    <row r="30" spans="1:22" ht="15.6">
      <c r="F30" s="252" t="s">
        <v>286</v>
      </c>
      <c r="G30" s="238">
        <v>3.0891564560439559</v>
      </c>
      <c r="H30" s="238">
        <v>3.3391564560439559</v>
      </c>
      <c r="I30" s="238">
        <v>3.5891564560439568</v>
      </c>
      <c r="J30" s="238">
        <v>3.8391564560439568</v>
      </c>
      <c r="K30" s="238">
        <v>4.0891564560439573</v>
      </c>
      <c r="L30" s="238">
        <v>4.3391564560439573</v>
      </c>
      <c r="M30" s="238">
        <v>4.5891564560439573</v>
      </c>
      <c r="N30" s="238">
        <v>4.8391564560439573</v>
      </c>
      <c r="O30" s="238">
        <v>5.0891564560439582</v>
      </c>
      <c r="P30" s="238">
        <v>5.3391564560439573</v>
      </c>
      <c r="Q30" s="238">
        <v>5.5891564560439582</v>
      </c>
      <c r="R30" s="238">
        <v>5.8391564560439582</v>
      </c>
      <c r="S30" s="238">
        <v>6.0891564560439582</v>
      </c>
      <c r="T30" s="238">
        <v>6.3391564560439582</v>
      </c>
      <c r="U30" s="238">
        <v>6.5891564560439591</v>
      </c>
      <c r="V30" s="238">
        <v>6.8391564560439591</v>
      </c>
    </row>
    <row r="31" spans="1:22" ht="15.6">
      <c r="F31" s="252" t="s">
        <v>287</v>
      </c>
      <c r="G31" s="238">
        <v>3.2286421703296706</v>
      </c>
      <c r="H31" s="238">
        <v>3.4786421703296706</v>
      </c>
      <c r="I31" s="238">
        <v>3.728642170329671</v>
      </c>
      <c r="J31" s="238">
        <v>3.978642170329671</v>
      </c>
      <c r="K31" s="238">
        <v>4.2286421703296719</v>
      </c>
      <c r="L31" s="238">
        <v>4.4786421703296719</v>
      </c>
      <c r="M31" s="238">
        <v>4.7286421703296719</v>
      </c>
      <c r="N31" s="238">
        <v>4.9786421703296719</v>
      </c>
      <c r="O31" s="238">
        <v>5.2286421703296728</v>
      </c>
      <c r="P31" s="238">
        <v>5.4786421703296719</v>
      </c>
      <c r="Q31" s="238">
        <v>5.7286421703296728</v>
      </c>
      <c r="R31" s="238">
        <v>5.9786421703296728</v>
      </c>
      <c r="S31" s="238">
        <v>6.2286421703296728</v>
      </c>
      <c r="T31" s="238">
        <v>6.4786421703296728</v>
      </c>
      <c r="U31" s="238">
        <v>6.7286421703296737</v>
      </c>
      <c r="V31" s="238">
        <v>6.9786421703296737</v>
      </c>
    </row>
    <row r="32" spans="1:22" ht="15.6">
      <c r="F32" s="252" t="s">
        <v>288</v>
      </c>
      <c r="G32" s="238">
        <v>3.751713598901099</v>
      </c>
      <c r="H32" s="238">
        <v>4.001713598901099</v>
      </c>
      <c r="I32" s="238">
        <v>4.2517135989010999</v>
      </c>
      <c r="J32" s="238">
        <v>4.5017135989010999</v>
      </c>
      <c r="K32" s="238">
        <v>4.7517135989010999</v>
      </c>
      <c r="L32" s="238">
        <v>5.0017135989010999</v>
      </c>
      <c r="M32" s="238">
        <v>5.2517135989010999</v>
      </c>
      <c r="N32" s="238">
        <v>5.5017135989010999</v>
      </c>
      <c r="O32" s="238">
        <v>5.7517135989011017</v>
      </c>
      <c r="P32" s="238">
        <v>6.0017135989010999</v>
      </c>
      <c r="Q32" s="238">
        <v>6.2517135989011017</v>
      </c>
      <c r="R32" s="238">
        <v>6.5017135989011017</v>
      </c>
      <c r="S32" s="238">
        <v>6.7517135989011017</v>
      </c>
      <c r="T32" s="238">
        <v>7.0017135989011017</v>
      </c>
      <c r="U32" s="238">
        <v>7.2517135989011017</v>
      </c>
      <c r="V32" s="238">
        <v>7.5017135989011017</v>
      </c>
    </row>
    <row r="33" spans="1:22">
      <c r="F33" s="252" t="s">
        <v>126</v>
      </c>
      <c r="G33" s="52">
        <f t="shared" ref="G33:S33" si="10">G29</f>
        <v>2.8799278846153848</v>
      </c>
      <c r="H33" s="52">
        <f t="shared" si="10"/>
        <v>3.1299278846153848</v>
      </c>
      <c r="I33" s="52">
        <f t="shared" si="10"/>
        <v>3.3799278846153853</v>
      </c>
      <c r="J33" s="52">
        <f t="shared" si="10"/>
        <v>3.6299278846153857</v>
      </c>
      <c r="K33" s="52">
        <f t="shared" si="10"/>
        <v>3.8799278846153862</v>
      </c>
      <c r="L33" s="52">
        <f t="shared" si="10"/>
        <v>4.1299278846153857</v>
      </c>
      <c r="M33" s="52">
        <f t="shared" si="10"/>
        <v>4.3799278846153857</v>
      </c>
      <c r="N33" s="52">
        <f t="shared" si="10"/>
        <v>4.6299278846153857</v>
      </c>
      <c r="O33" s="52">
        <f>O29</f>
        <v>4.8799278846153866</v>
      </c>
      <c r="P33" s="52">
        <f t="shared" si="10"/>
        <v>5.1299278846153857</v>
      </c>
      <c r="Q33" s="52">
        <f>Q29</f>
        <v>5.3799278846153866</v>
      </c>
      <c r="R33" s="52">
        <f>R29</f>
        <v>5.6299278846153866</v>
      </c>
      <c r="S33" s="52">
        <f t="shared" si="10"/>
        <v>5.8799278846153866</v>
      </c>
      <c r="T33" s="52">
        <f>T29</f>
        <v>6.1299278846153866</v>
      </c>
      <c r="U33" s="52">
        <f>U29</f>
        <v>6.3799278846153875</v>
      </c>
      <c r="V33" s="52">
        <f>V29</f>
        <v>6.6299278846153875</v>
      </c>
    </row>
    <row r="34" spans="1:22">
      <c r="F34" s="252" t="s">
        <v>66</v>
      </c>
      <c r="G34" s="52">
        <f t="shared" ref="G34:V36" si="11">G30-G29</f>
        <v>0.2092285714285711</v>
      </c>
      <c r="H34" s="52">
        <f t="shared" si="11"/>
        <v>0.2092285714285711</v>
      </c>
      <c r="I34" s="52">
        <f t="shared" si="11"/>
        <v>0.20922857142857154</v>
      </c>
      <c r="J34" s="52">
        <f t="shared" si="11"/>
        <v>0.2092285714285711</v>
      </c>
      <c r="K34" s="52">
        <f t="shared" si="11"/>
        <v>0.2092285714285711</v>
      </c>
      <c r="L34" s="52">
        <f t="shared" si="11"/>
        <v>0.20922857142857154</v>
      </c>
      <c r="M34" s="52">
        <f t="shared" si="11"/>
        <v>0.20922857142857154</v>
      </c>
      <c r="N34" s="52">
        <f t="shared" si="11"/>
        <v>0.20922857142857154</v>
      </c>
      <c r="O34" s="52">
        <f t="shared" si="11"/>
        <v>0.20922857142857154</v>
      </c>
      <c r="P34" s="52">
        <f t="shared" si="11"/>
        <v>0.20922857142857154</v>
      </c>
      <c r="Q34" s="52">
        <f t="shared" si="11"/>
        <v>0.20922857142857154</v>
      </c>
      <c r="R34" s="52">
        <f t="shared" si="11"/>
        <v>0.20922857142857154</v>
      </c>
      <c r="S34" s="52">
        <f t="shared" si="11"/>
        <v>0.20922857142857154</v>
      </c>
      <c r="T34" s="52">
        <f t="shared" si="11"/>
        <v>0.20922857142857154</v>
      </c>
      <c r="U34" s="52">
        <f t="shared" si="11"/>
        <v>0.20922857142857154</v>
      </c>
      <c r="V34" s="52">
        <f t="shared" si="11"/>
        <v>0.20922857142857154</v>
      </c>
    </row>
    <row r="35" spans="1:22">
      <c r="F35" s="252" t="s">
        <v>130</v>
      </c>
      <c r="G35" s="52">
        <f>G31-G30</f>
        <v>0.13948571428571466</v>
      </c>
      <c r="H35" s="52">
        <f t="shared" si="11"/>
        <v>0.13948571428571466</v>
      </c>
      <c r="I35" s="52">
        <f t="shared" si="11"/>
        <v>0.13948571428571421</v>
      </c>
      <c r="J35" s="52">
        <f t="shared" si="11"/>
        <v>0.13948571428571421</v>
      </c>
      <c r="K35" s="52">
        <f t="shared" si="11"/>
        <v>0.13948571428571466</v>
      </c>
      <c r="L35" s="52">
        <f t="shared" si="11"/>
        <v>0.13948571428571466</v>
      </c>
      <c r="M35" s="52">
        <f t="shared" si="11"/>
        <v>0.13948571428571466</v>
      </c>
      <c r="N35" s="52">
        <f t="shared" si="11"/>
        <v>0.13948571428571466</v>
      </c>
      <c r="O35" s="52">
        <f t="shared" si="11"/>
        <v>0.13948571428571466</v>
      </c>
      <c r="P35" s="52">
        <f t="shared" si="11"/>
        <v>0.13948571428571466</v>
      </c>
      <c r="Q35" s="52">
        <f t="shared" si="11"/>
        <v>0.13948571428571466</v>
      </c>
      <c r="R35" s="52">
        <f t="shared" si="11"/>
        <v>0.13948571428571466</v>
      </c>
      <c r="S35" s="52">
        <f t="shared" si="11"/>
        <v>0.13948571428571466</v>
      </c>
      <c r="T35" s="52">
        <f t="shared" si="11"/>
        <v>0.13948571428571466</v>
      </c>
      <c r="U35" s="52">
        <f t="shared" si="11"/>
        <v>0.13948571428571466</v>
      </c>
      <c r="V35" s="52">
        <f t="shared" si="11"/>
        <v>0.13948571428571466</v>
      </c>
    </row>
    <row r="36" spans="1:22">
      <c r="F36" s="252" t="s">
        <v>131</v>
      </c>
      <c r="G36" s="52">
        <f>G32-G31</f>
        <v>0.52307142857142841</v>
      </c>
      <c r="H36" s="52">
        <f t="shared" si="11"/>
        <v>0.52307142857142841</v>
      </c>
      <c r="I36" s="52">
        <f t="shared" si="11"/>
        <v>0.52307142857142885</v>
      </c>
      <c r="J36" s="52">
        <f t="shared" si="11"/>
        <v>0.52307142857142885</v>
      </c>
      <c r="K36" s="52">
        <f t="shared" si="11"/>
        <v>0.52307142857142797</v>
      </c>
      <c r="L36" s="52">
        <f t="shared" si="11"/>
        <v>0.52307142857142797</v>
      </c>
      <c r="M36" s="52">
        <f t="shared" si="11"/>
        <v>0.52307142857142797</v>
      </c>
      <c r="N36" s="52">
        <f t="shared" si="11"/>
        <v>0.52307142857142797</v>
      </c>
      <c r="O36" s="52">
        <f t="shared" si="11"/>
        <v>0.52307142857142885</v>
      </c>
      <c r="P36" s="52">
        <f t="shared" si="11"/>
        <v>0.52307142857142797</v>
      </c>
      <c r="Q36" s="52">
        <f t="shared" si="11"/>
        <v>0.52307142857142885</v>
      </c>
      <c r="R36" s="52">
        <f t="shared" si="11"/>
        <v>0.52307142857142885</v>
      </c>
      <c r="S36" s="52">
        <f t="shared" si="11"/>
        <v>0.52307142857142885</v>
      </c>
      <c r="T36" s="52">
        <f t="shared" si="11"/>
        <v>0.52307142857142885</v>
      </c>
      <c r="U36" s="52">
        <f t="shared" si="11"/>
        <v>0.52307142857142797</v>
      </c>
      <c r="V36" s="52">
        <f t="shared" si="11"/>
        <v>0.52307142857142797</v>
      </c>
    </row>
    <row r="39" spans="1:22">
      <c r="A39" s="238" t="s">
        <v>272</v>
      </c>
      <c r="B39" s="238" t="s">
        <v>273</v>
      </c>
      <c r="C39" s="238" t="s">
        <v>274</v>
      </c>
      <c r="D39" s="238" t="s">
        <v>275</v>
      </c>
      <c r="E39" s="238" t="s">
        <v>121</v>
      </c>
    </row>
    <row r="40" spans="1:22">
      <c r="A40" s="238">
        <v>2016</v>
      </c>
      <c r="B40" s="238">
        <f>C40/3.35</f>
        <v>0.68774397244546503</v>
      </c>
      <c r="C40" s="245">
        <v>2.3039423076923078</v>
      </c>
      <c r="D40" s="238">
        <f>B40*$B$21</f>
        <v>60.177597588978188</v>
      </c>
      <c r="E40" s="245">
        <f>1000*B40/12.7</f>
        <v>54.153068696493314</v>
      </c>
    </row>
    <row r="41" spans="1:22">
      <c r="A41" s="238">
        <v>2020</v>
      </c>
      <c r="B41" s="238">
        <f t="shared" ref="B41:B55" si="12">C41/3.35</f>
        <v>0.74744546498277853</v>
      </c>
      <c r="C41" s="245">
        <f>C40+0.2</f>
        <v>2.503942307692308</v>
      </c>
      <c r="D41" s="238">
        <f t="shared" ref="D41:D55" si="13">B41*$B$21</f>
        <v>65.401478185993128</v>
      </c>
      <c r="E41" s="245">
        <f>1000*B41/12.7</f>
        <v>58.853973620691221</v>
      </c>
    </row>
    <row r="42" spans="1:22">
      <c r="A42" s="238">
        <v>2017</v>
      </c>
      <c r="B42" s="238">
        <f t="shared" si="12"/>
        <v>0.80714695752009191</v>
      </c>
      <c r="C42" s="245">
        <f t="shared" ref="C42:C55" si="14">C41+0.2</f>
        <v>2.7039423076923081</v>
      </c>
      <c r="D42" s="238">
        <f t="shared" si="13"/>
        <v>70.625358783008039</v>
      </c>
      <c r="E42" s="245">
        <f t="shared" ref="E42:E55" si="15">1000*B42/12.7</f>
        <v>63.554878544889128</v>
      </c>
    </row>
    <row r="43" spans="1:22">
      <c r="A43" s="238">
        <v>2015</v>
      </c>
      <c r="B43" s="238">
        <f t="shared" si="12"/>
        <v>0.86684845005740541</v>
      </c>
      <c r="C43" s="245">
        <f t="shared" si="14"/>
        <v>2.9039423076923083</v>
      </c>
      <c r="D43" s="238">
        <f t="shared" si="13"/>
        <v>75.849239380022979</v>
      </c>
      <c r="E43" s="245">
        <f>1000*B43/12.7</f>
        <v>68.255783469087049</v>
      </c>
    </row>
    <row r="44" spans="1:22">
      <c r="A44" s="238">
        <v>2010</v>
      </c>
      <c r="B44" s="238">
        <f t="shared" si="12"/>
        <v>0.9265499425947189</v>
      </c>
      <c r="C44" s="245">
        <f t="shared" si="14"/>
        <v>3.1039423076923085</v>
      </c>
      <c r="D44" s="238">
        <f t="shared" si="13"/>
        <v>81.073119977037905</v>
      </c>
      <c r="E44" s="245">
        <f t="shared" si="15"/>
        <v>72.956688393284963</v>
      </c>
    </row>
    <row r="45" spans="1:22">
      <c r="A45" s="238">
        <v>2019</v>
      </c>
      <c r="B45" s="238">
        <f t="shared" si="12"/>
        <v>0.98625143513203239</v>
      </c>
      <c r="C45" s="245">
        <f t="shared" si="14"/>
        <v>3.3039423076923087</v>
      </c>
      <c r="D45" s="238">
        <f t="shared" si="13"/>
        <v>86.297000574052831</v>
      </c>
      <c r="E45" s="245">
        <f t="shared" si="15"/>
        <v>77.657593317482863</v>
      </c>
    </row>
    <row r="46" spans="1:22">
      <c r="A46" s="238">
        <v>2018</v>
      </c>
      <c r="B46" s="238">
        <f t="shared" si="12"/>
        <v>1.045952927669346</v>
      </c>
      <c r="C46" s="245">
        <f t="shared" si="14"/>
        <v>3.5039423076923089</v>
      </c>
      <c r="D46" s="238">
        <f t="shared" si="13"/>
        <v>91.520881171067771</v>
      </c>
      <c r="E46" s="245">
        <f t="shared" si="15"/>
        <v>82.358498241680792</v>
      </c>
    </row>
    <row r="47" spans="1:22">
      <c r="A47" s="238">
        <v>2021</v>
      </c>
      <c r="B47" s="238">
        <f t="shared" si="12"/>
        <v>1.1056544202066594</v>
      </c>
      <c r="C47" s="245">
        <f t="shared" si="14"/>
        <v>3.703942307692309</v>
      </c>
      <c r="D47" s="238">
        <f t="shared" si="13"/>
        <v>96.744761768082697</v>
      </c>
      <c r="E47" s="245">
        <f t="shared" si="15"/>
        <v>87.059403165878692</v>
      </c>
    </row>
    <row r="48" spans="1:22">
      <c r="A48" s="238">
        <v>2014</v>
      </c>
      <c r="B48" s="238">
        <f t="shared" si="12"/>
        <v>1.1653559127439728</v>
      </c>
      <c r="C48" s="245">
        <f t="shared" si="14"/>
        <v>3.9039423076923092</v>
      </c>
      <c r="D48" s="238">
        <f t="shared" si="13"/>
        <v>101.96864236509762</v>
      </c>
      <c r="E48" s="245">
        <f t="shared" si="15"/>
        <v>91.760308090076606</v>
      </c>
      <c r="I48" s="254"/>
    </row>
    <row r="49" spans="1:5">
      <c r="A49" s="238">
        <v>2011</v>
      </c>
      <c r="B49" s="238">
        <f t="shared" si="12"/>
        <v>1.2250574052812861</v>
      </c>
      <c r="C49" s="245">
        <f t="shared" si="14"/>
        <v>4.1039423076923089</v>
      </c>
      <c r="D49" s="238">
        <f t="shared" si="13"/>
        <v>107.19252296211253</v>
      </c>
      <c r="E49" s="245">
        <f t="shared" si="15"/>
        <v>96.461213014274492</v>
      </c>
    </row>
    <row r="50" spans="1:5">
      <c r="A50" s="238">
        <v>2013</v>
      </c>
      <c r="B50" s="238">
        <f t="shared" si="12"/>
        <v>1.2847588978185998</v>
      </c>
      <c r="C50" s="245">
        <f t="shared" si="14"/>
        <v>4.3039423076923091</v>
      </c>
      <c r="D50" s="238">
        <f t="shared" si="13"/>
        <v>112.41640355912747</v>
      </c>
      <c r="E50" s="245">
        <f t="shared" si="15"/>
        <v>101.16211793847242</v>
      </c>
    </row>
    <row r="51" spans="1:5">
      <c r="A51" s="238">
        <v>2012</v>
      </c>
      <c r="B51" s="238">
        <f t="shared" si="12"/>
        <v>1.3444603903559131</v>
      </c>
      <c r="C51" s="245">
        <f t="shared" si="14"/>
        <v>4.5039423076923093</v>
      </c>
      <c r="D51" s="238">
        <f t="shared" si="13"/>
        <v>117.6402841561424</v>
      </c>
      <c r="E51" s="245">
        <f t="shared" si="15"/>
        <v>105.86302286267033</v>
      </c>
    </row>
    <row r="52" spans="1:5">
      <c r="A52" s="238">
        <v>2022</v>
      </c>
      <c r="B52" s="238">
        <f t="shared" si="12"/>
        <v>1.4041618828932267</v>
      </c>
      <c r="C52" s="245">
        <f t="shared" si="14"/>
        <v>4.7039423076923095</v>
      </c>
      <c r="D52" s="238">
        <f t="shared" si="13"/>
        <v>122.86416475315734</v>
      </c>
      <c r="E52" s="245">
        <f t="shared" si="15"/>
        <v>110.56392778686825</v>
      </c>
    </row>
    <row r="53" spans="1:5">
      <c r="A53" s="238" t="s">
        <v>19</v>
      </c>
      <c r="B53" s="238">
        <f t="shared" si="12"/>
        <v>1.4638633754305401</v>
      </c>
      <c r="C53" s="245">
        <f t="shared" si="14"/>
        <v>4.9039423076923097</v>
      </c>
      <c r="D53" s="238">
        <f t="shared" si="13"/>
        <v>128.08804535017225</v>
      </c>
      <c r="E53" s="245">
        <f t="shared" si="15"/>
        <v>115.26483271106616</v>
      </c>
    </row>
    <row r="54" spans="1:5">
      <c r="A54" s="238" t="s">
        <v>19</v>
      </c>
      <c r="B54" s="238">
        <f t="shared" si="12"/>
        <v>1.5235648679678537</v>
      </c>
      <c r="C54" s="245">
        <f t="shared" si="14"/>
        <v>5.1039423076923098</v>
      </c>
      <c r="D54" s="238">
        <f t="shared" si="13"/>
        <v>133.31192594718721</v>
      </c>
      <c r="E54" s="245">
        <f t="shared" si="15"/>
        <v>119.96573763526409</v>
      </c>
    </row>
    <row r="55" spans="1:5">
      <c r="A55" s="238" t="s">
        <v>19</v>
      </c>
      <c r="B55" s="238">
        <f t="shared" si="12"/>
        <v>1.5832663605051671</v>
      </c>
      <c r="C55" s="245">
        <f t="shared" si="14"/>
        <v>5.30394230769231</v>
      </c>
      <c r="D55" s="238">
        <f t="shared" si="13"/>
        <v>138.53580654420213</v>
      </c>
      <c r="E55" s="245">
        <f t="shared" si="15"/>
        <v>124.66664255946198</v>
      </c>
    </row>
  </sheetData>
  <mergeCells count="6">
    <mergeCell ref="F3:N3"/>
    <mergeCell ref="A1:B1"/>
    <mergeCell ref="F4:G4"/>
    <mergeCell ref="H4:I4"/>
    <mergeCell ref="J4:K4"/>
    <mergeCell ref="L4:M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E4E5-8253-46F3-8F9A-C2F74FF15959}">
  <dimension ref="A1:V69"/>
  <sheetViews>
    <sheetView zoomScale="80" zoomScaleNormal="80" workbookViewId="0">
      <selection activeCell="F4" sqref="F4:N5"/>
    </sheetView>
  </sheetViews>
  <sheetFormatPr defaultColWidth="9.109375" defaultRowHeight="13.8"/>
  <cols>
    <col min="1" max="1" width="9.109375" style="239"/>
    <col min="2" max="2" width="13.6640625" style="239" customWidth="1"/>
    <col min="3" max="16384" width="9.109375" style="239"/>
  </cols>
  <sheetData>
    <row r="1" spans="1:14" ht="90.6" customHeight="1">
      <c r="A1" s="179" t="s">
        <v>295</v>
      </c>
      <c r="B1" s="180"/>
    </row>
    <row r="3" spans="1:14">
      <c r="A3" s="238" t="s">
        <v>272</v>
      </c>
      <c r="B3" s="238" t="s">
        <v>273</v>
      </c>
      <c r="C3" s="238" t="s">
        <v>274</v>
      </c>
      <c r="D3" s="238" t="s">
        <v>275</v>
      </c>
      <c r="F3" s="250" t="s">
        <v>58</v>
      </c>
      <c r="G3" s="251"/>
      <c r="H3" s="251"/>
      <c r="I3" s="251"/>
      <c r="J3" s="251"/>
      <c r="K3" s="251"/>
      <c r="L3" s="251"/>
      <c r="M3" s="251"/>
      <c r="N3" s="251"/>
    </row>
    <row r="4" spans="1:14">
      <c r="A4" s="238">
        <v>2016</v>
      </c>
      <c r="B4" s="238">
        <v>0.68774397244546526</v>
      </c>
      <c r="C4" s="253">
        <v>2.3039423076923078</v>
      </c>
      <c r="D4" s="238">
        <f>B4*$B$21</f>
        <v>60.177597588978209</v>
      </c>
      <c r="F4" s="260" t="s">
        <v>297</v>
      </c>
      <c r="G4" s="261"/>
      <c r="H4" s="260" t="s">
        <v>298</v>
      </c>
      <c r="I4" s="261"/>
      <c r="J4" s="260" t="s">
        <v>299</v>
      </c>
      <c r="K4" s="261"/>
      <c r="L4" s="260" t="s">
        <v>300</v>
      </c>
      <c r="M4" s="261"/>
      <c r="N4" s="262"/>
    </row>
    <row r="5" spans="1:14" ht="41.4">
      <c r="A5" s="238">
        <v>2020</v>
      </c>
      <c r="B5" s="238">
        <v>0.76143513203214697</v>
      </c>
      <c r="C5" s="253">
        <v>2.5508076923076928</v>
      </c>
      <c r="D5" s="238">
        <f>B5*$B$21</f>
        <v>66.625574052812865</v>
      </c>
      <c r="F5" s="259" t="s">
        <v>276</v>
      </c>
      <c r="G5" s="259" t="s">
        <v>277</v>
      </c>
      <c r="H5" s="259" t="s">
        <v>285</v>
      </c>
      <c r="I5" s="259" t="s">
        <v>277</v>
      </c>
      <c r="J5" s="259" t="s">
        <v>285</v>
      </c>
      <c r="K5" s="259" t="s">
        <v>277</v>
      </c>
      <c r="L5" s="259" t="s">
        <v>285</v>
      </c>
      <c r="M5" s="259" t="s">
        <v>277</v>
      </c>
      <c r="N5" s="263" t="s">
        <v>55</v>
      </c>
    </row>
    <row r="6" spans="1:14">
      <c r="A6" s="238">
        <v>2017</v>
      </c>
      <c r="B6" s="238">
        <v>0.79105625717566019</v>
      </c>
      <c r="C6" s="253">
        <v>2.650038461538462</v>
      </c>
      <c r="D6" s="238">
        <f t="shared" ref="D6:D16" si="0">B6*$B$21</f>
        <v>69.217422502870264</v>
      </c>
      <c r="F6" s="245">
        <v>2.3039423076923078</v>
      </c>
      <c r="G6" s="238">
        <f>F6*$B$21/$B$26</f>
        <v>2.3039423076923078</v>
      </c>
      <c r="H6" s="245">
        <v>2.3039423076923078</v>
      </c>
      <c r="I6" s="238">
        <f>(0.06*($C$21-$C$25)+H6*$B$21)/$B$26</f>
        <v>2.465925164835165</v>
      </c>
      <c r="J6" s="245">
        <v>2.3039423076923078</v>
      </c>
      <c r="K6" s="238">
        <f>(0.1*($C$21-$C$25)+H6*$B$21)/$B$26</f>
        <v>2.5739137362637363</v>
      </c>
      <c r="L6" s="245">
        <v>2.3039423076923078</v>
      </c>
      <c r="M6" s="238">
        <f>(0.25*($C$21-$C$25)+H6*$B$21)/$B$26</f>
        <v>2.9788708791208793</v>
      </c>
      <c r="N6" s="238">
        <f>1000*M6/33.33</f>
        <v>89.37506388001438</v>
      </c>
    </row>
    <row r="7" spans="1:14">
      <c r="A7" s="238">
        <v>2015</v>
      </c>
      <c r="B7" s="238">
        <v>0.8079506314580942</v>
      </c>
      <c r="C7" s="253">
        <v>2.7066346153846146</v>
      </c>
      <c r="D7" s="238">
        <f t="shared" si="0"/>
        <v>70.695680252583244</v>
      </c>
      <c r="F7" s="245">
        <f>F6+0.2</f>
        <v>2.503942307692308</v>
      </c>
      <c r="G7" s="238">
        <f t="shared" ref="G7:G21" si="1">F7*$B$21/$B$26</f>
        <v>2.503942307692308</v>
      </c>
      <c r="H7" s="245">
        <f>H6+0.2</f>
        <v>2.503942307692308</v>
      </c>
      <c r="I7" s="238">
        <f>(0.06*($C$21-$C$25)+H7*$B$21)/$B$26</f>
        <v>2.6659251648351647</v>
      </c>
      <c r="J7" s="245">
        <f>J6+0.2</f>
        <v>2.503942307692308</v>
      </c>
      <c r="K7" s="238">
        <f t="shared" ref="K7:K21" si="2">(0.1*($C$21-$C$25)+H7*$B$21)/$B$26</f>
        <v>2.7739137362637365</v>
      </c>
      <c r="L7" s="245">
        <f>L6+0.2</f>
        <v>2.503942307692308</v>
      </c>
      <c r="M7" s="238">
        <f t="shared" ref="M7:M21" si="3">(0.25*($C$21-$C$25)+H7*$B$21)/$B$26</f>
        <v>3.1788708791208795</v>
      </c>
      <c r="N7" s="238">
        <f t="shared" ref="N7:N21" si="4">1000*M7/33.33</f>
        <v>95.375663940020402</v>
      </c>
    </row>
    <row r="8" spans="1:14">
      <c r="A8" s="238">
        <v>2010</v>
      </c>
      <c r="B8" s="238">
        <v>0.89300229621125138</v>
      </c>
      <c r="C8" s="253">
        <v>2.9915576923076923</v>
      </c>
      <c r="D8" s="238">
        <f t="shared" si="0"/>
        <v>78.137700918484498</v>
      </c>
      <c r="F8" s="245">
        <f t="shared" ref="F8:F21" si="5">F7+0.2</f>
        <v>2.7039423076923081</v>
      </c>
      <c r="G8" s="238">
        <f t="shared" si="1"/>
        <v>2.7039423076923081</v>
      </c>
      <c r="H8" s="245">
        <f t="shared" ref="H8:H21" si="6">H7+0.2</f>
        <v>2.7039423076923081</v>
      </c>
      <c r="I8" s="238">
        <f t="shared" ref="I8:I21" si="7">(0.06*($C$21-$C$25)+H8*$B$21)/$B$26</f>
        <v>2.8659251648351654</v>
      </c>
      <c r="J8" s="245">
        <f t="shared" ref="J8:J21" si="8">J7+0.2</f>
        <v>2.7039423076923081</v>
      </c>
      <c r="K8" s="238">
        <f t="shared" si="2"/>
        <v>2.9739137362637367</v>
      </c>
      <c r="L8" s="245">
        <f t="shared" ref="L8:L21" si="9">L7+0.2</f>
        <v>2.7039423076923081</v>
      </c>
      <c r="M8" s="238">
        <f t="shared" si="3"/>
        <v>3.3788708791208801</v>
      </c>
      <c r="N8" s="238">
        <f t="shared" si="4"/>
        <v>101.37626400002641</v>
      </c>
    </row>
    <row r="9" spans="1:14">
      <c r="A9" s="238">
        <v>2019</v>
      </c>
      <c r="B9" s="238">
        <v>0.91218714121699196</v>
      </c>
      <c r="C9" s="253">
        <v>3.0558269230769235</v>
      </c>
      <c r="D9" s="238">
        <f t="shared" si="0"/>
        <v>79.816374856486803</v>
      </c>
      <c r="F9" s="245">
        <f t="shared" si="5"/>
        <v>2.9039423076923083</v>
      </c>
      <c r="G9" s="238">
        <f t="shared" si="1"/>
        <v>2.9039423076923083</v>
      </c>
      <c r="H9" s="245">
        <f t="shared" si="6"/>
        <v>2.9039423076923083</v>
      </c>
      <c r="I9" s="238">
        <f t="shared" si="7"/>
        <v>3.065925164835166</v>
      </c>
      <c r="J9" s="245">
        <f t="shared" si="8"/>
        <v>2.9039423076923083</v>
      </c>
      <c r="K9" s="238">
        <f t="shared" si="2"/>
        <v>3.1739137362637369</v>
      </c>
      <c r="L9" s="245">
        <f t="shared" si="9"/>
        <v>2.9039423076923083</v>
      </c>
      <c r="M9" s="238">
        <f t="shared" si="3"/>
        <v>3.5788708791208799</v>
      </c>
      <c r="N9" s="238">
        <f t="shared" si="4"/>
        <v>107.37686406003242</v>
      </c>
    </row>
    <row r="10" spans="1:14">
      <c r="A10" s="238">
        <v>2018</v>
      </c>
      <c r="B10" s="238">
        <v>0.94854970430864538</v>
      </c>
      <c r="C10" s="253">
        <v>3.1776415094339621</v>
      </c>
      <c r="D10" s="238">
        <f t="shared" si="0"/>
        <v>82.998099127006469</v>
      </c>
      <c r="F10" s="245">
        <f t="shared" si="5"/>
        <v>3.1039423076923085</v>
      </c>
      <c r="G10" s="238">
        <f t="shared" si="1"/>
        <v>3.1039423076923089</v>
      </c>
      <c r="H10" s="245">
        <f t="shared" si="6"/>
        <v>3.1039423076923085</v>
      </c>
      <c r="I10" s="238">
        <f t="shared" si="7"/>
        <v>3.2659251648351657</v>
      </c>
      <c r="J10" s="245">
        <f t="shared" si="8"/>
        <v>3.1039423076923085</v>
      </c>
      <c r="K10" s="238">
        <f t="shared" si="2"/>
        <v>3.3739137362637375</v>
      </c>
      <c r="L10" s="245">
        <f t="shared" si="9"/>
        <v>3.1039423076923085</v>
      </c>
      <c r="M10" s="238">
        <f t="shared" si="3"/>
        <v>3.77887087912088</v>
      </c>
      <c r="N10" s="238">
        <f t="shared" si="4"/>
        <v>113.37746412003841</v>
      </c>
    </row>
    <row r="11" spans="1:14">
      <c r="A11" s="238">
        <v>2021</v>
      </c>
      <c r="B11" s="238">
        <v>0.98111940298507438</v>
      </c>
      <c r="C11" s="253">
        <v>3.2867500000000005</v>
      </c>
      <c r="D11" s="238">
        <f t="shared" si="0"/>
        <v>85.847947761194007</v>
      </c>
      <c r="F11" s="245">
        <f t="shared" si="5"/>
        <v>3.3039423076923087</v>
      </c>
      <c r="G11" s="238">
        <f t="shared" si="1"/>
        <v>3.3039423076923087</v>
      </c>
      <c r="H11" s="245">
        <f t="shared" si="6"/>
        <v>3.3039423076923087</v>
      </c>
      <c r="I11" s="238">
        <f t="shared" si="7"/>
        <v>3.4659251648351659</v>
      </c>
      <c r="J11" s="245">
        <f t="shared" si="8"/>
        <v>3.3039423076923087</v>
      </c>
      <c r="K11" s="238">
        <f t="shared" si="2"/>
        <v>3.5739137362637372</v>
      </c>
      <c r="L11" s="245">
        <f t="shared" si="9"/>
        <v>3.3039423076923087</v>
      </c>
      <c r="M11" s="238">
        <f t="shared" si="3"/>
        <v>3.9788708791208798</v>
      </c>
      <c r="N11" s="238">
        <f t="shared" si="4"/>
        <v>119.3780641800444</v>
      </c>
    </row>
    <row r="12" spans="1:14">
      <c r="A12" s="238">
        <v>2014</v>
      </c>
      <c r="B12" s="238">
        <v>1.1416819747416762</v>
      </c>
      <c r="C12" s="253">
        <v>3.8246346153846149</v>
      </c>
      <c r="D12" s="238">
        <f t="shared" si="0"/>
        <v>99.897172789896672</v>
      </c>
      <c r="F12" s="245">
        <f t="shared" si="5"/>
        <v>3.5039423076923089</v>
      </c>
      <c r="G12" s="238">
        <f t="shared" si="1"/>
        <v>3.5039423076923089</v>
      </c>
      <c r="H12" s="245">
        <f t="shared" si="6"/>
        <v>3.5039423076923089</v>
      </c>
      <c r="I12" s="238">
        <f t="shared" si="7"/>
        <v>3.6659251648351656</v>
      </c>
      <c r="J12" s="245">
        <f t="shared" si="8"/>
        <v>3.5039423076923089</v>
      </c>
      <c r="K12" s="238">
        <f t="shared" si="2"/>
        <v>3.7739137362637374</v>
      </c>
      <c r="L12" s="245">
        <f t="shared" si="9"/>
        <v>3.5039423076923089</v>
      </c>
      <c r="M12" s="238">
        <f t="shared" si="3"/>
        <v>4.17887087912088</v>
      </c>
      <c r="N12" s="238">
        <f t="shared" si="4"/>
        <v>125.37866424005041</v>
      </c>
    </row>
    <row r="13" spans="1:14">
      <c r="A13" s="238">
        <v>2011</v>
      </c>
      <c r="B13" s="238">
        <v>1.1461825487944892</v>
      </c>
      <c r="C13" s="253">
        <v>3.839711538461537</v>
      </c>
      <c r="D13" s="238">
        <f t="shared" si="0"/>
        <v>100.29097301951781</v>
      </c>
      <c r="F13" s="245">
        <f t="shared" si="5"/>
        <v>3.703942307692309</v>
      </c>
      <c r="G13" s="238">
        <f t="shared" si="1"/>
        <v>3.7039423076923086</v>
      </c>
      <c r="H13" s="245">
        <f t="shared" si="6"/>
        <v>3.703942307692309</v>
      </c>
      <c r="I13" s="238">
        <f t="shared" si="7"/>
        <v>3.8659251648351658</v>
      </c>
      <c r="J13" s="245">
        <f t="shared" si="8"/>
        <v>3.703942307692309</v>
      </c>
      <c r="K13" s="238">
        <f t="shared" si="2"/>
        <v>3.9739137362637376</v>
      </c>
      <c r="L13" s="245">
        <f t="shared" si="9"/>
        <v>3.703942307692309</v>
      </c>
      <c r="M13" s="238">
        <f t="shared" si="3"/>
        <v>4.3788708791208801</v>
      </c>
      <c r="N13" s="238">
        <f t="shared" si="4"/>
        <v>131.37926430005641</v>
      </c>
    </row>
    <row r="14" spans="1:14">
      <c r="A14" s="238">
        <v>2013</v>
      </c>
      <c r="B14" s="238">
        <v>1.1706659012629164</v>
      </c>
      <c r="C14" s="253">
        <v>3.921730769230769</v>
      </c>
      <c r="D14" s="238">
        <f t="shared" si="0"/>
        <v>102.43326636050519</v>
      </c>
      <c r="F14" s="245">
        <f t="shared" si="5"/>
        <v>3.9039423076923092</v>
      </c>
      <c r="G14" s="238">
        <f t="shared" si="1"/>
        <v>3.9039423076923097</v>
      </c>
      <c r="H14" s="245">
        <f t="shared" si="6"/>
        <v>3.9039423076923092</v>
      </c>
      <c r="I14" s="238">
        <f t="shared" si="7"/>
        <v>4.0659251648351669</v>
      </c>
      <c r="J14" s="245">
        <f t="shared" si="8"/>
        <v>3.9039423076923092</v>
      </c>
      <c r="K14" s="238">
        <f t="shared" si="2"/>
        <v>4.1739137362637377</v>
      </c>
      <c r="L14" s="245">
        <f t="shared" si="9"/>
        <v>3.9039423076923092</v>
      </c>
      <c r="M14" s="238">
        <f t="shared" si="3"/>
        <v>4.5788708791208812</v>
      </c>
      <c r="N14" s="238">
        <f t="shared" si="4"/>
        <v>137.37986436006244</v>
      </c>
    </row>
    <row r="15" spans="1:14">
      <c r="A15" s="238">
        <v>2012</v>
      </c>
      <c r="B15" s="238">
        <v>1.1843987609124187</v>
      </c>
      <c r="C15" s="253">
        <v>3.9677358490566048</v>
      </c>
      <c r="D15" s="238">
        <f t="shared" si="0"/>
        <v>103.63489157983663</v>
      </c>
      <c r="F15" s="245">
        <f t="shared" si="5"/>
        <v>4.1039423076923089</v>
      </c>
      <c r="G15" s="238">
        <f t="shared" si="1"/>
        <v>4.1039423076923089</v>
      </c>
      <c r="H15" s="245">
        <f t="shared" si="6"/>
        <v>4.1039423076923089</v>
      </c>
      <c r="I15" s="238">
        <f t="shared" si="7"/>
        <v>4.2659251648351662</v>
      </c>
      <c r="J15" s="245">
        <f t="shared" si="8"/>
        <v>4.1039423076923089</v>
      </c>
      <c r="K15" s="238">
        <f t="shared" si="2"/>
        <v>4.373913736263737</v>
      </c>
      <c r="L15" s="245">
        <f t="shared" si="9"/>
        <v>4.1039423076923089</v>
      </c>
      <c r="M15" s="238">
        <f>(0.25*($C$21-$C$25)+H15*$B$21)/$B$26</f>
        <v>4.7788708791208796</v>
      </c>
      <c r="N15" s="238">
        <f t="shared" si="4"/>
        <v>143.38046442006839</v>
      </c>
    </row>
    <row r="16" spans="1:14">
      <c r="A16" s="238">
        <v>2022</v>
      </c>
      <c r="B16" s="238">
        <v>1.4809950248756221</v>
      </c>
      <c r="C16" s="253">
        <v>4.961333333333334</v>
      </c>
      <c r="D16" s="238">
        <f t="shared" si="0"/>
        <v>129.58706467661693</v>
      </c>
      <c r="F16" s="245">
        <f t="shared" si="5"/>
        <v>4.3039423076923091</v>
      </c>
      <c r="G16" s="238">
        <f t="shared" si="1"/>
        <v>4.3039423076923091</v>
      </c>
      <c r="H16" s="245">
        <f t="shared" si="6"/>
        <v>4.3039423076923091</v>
      </c>
      <c r="I16" s="238">
        <f t="shared" si="7"/>
        <v>4.4659251648351663</v>
      </c>
      <c r="J16" s="245">
        <f t="shared" si="8"/>
        <v>4.3039423076923091</v>
      </c>
      <c r="K16" s="238">
        <f t="shared" si="2"/>
        <v>4.5739137362637381</v>
      </c>
      <c r="L16" s="245">
        <f t="shared" si="9"/>
        <v>4.3039423076923091</v>
      </c>
      <c r="M16" s="238">
        <f t="shared" si="3"/>
        <v>4.9788708791208816</v>
      </c>
      <c r="N16" s="238">
        <f t="shared" si="4"/>
        <v>149.38106448007449</v>
      </c>
    </row>
    <row r="17" spans="1:22">
      <c r="F17" s="245">
        <f t="shared" si="5"/>
        <v>4.5039423076923093</v>
      </c>
      <c r="G17" s="238">
        <f t="shared" si="1"/>
        <v>4.5039423076923093</v>
      </c>
      <c r="H17" s="245">
        <f t="shared" si="6"/>
        <v>4.5039423076923093</v>
      </c>
      <c r="I17" s="238">
        <f t="shared" si="7"/>
        <v>4.6659251648351665</v>
      </c>
      <c r="J17" s="245">
        <f t="shared" si="8"/>
        <v>4.5039423076923093</v>
      </c>
      <c r="K17" s="238">
        <f t="shared" si="2"/>
        <v>4.7739137362637383</v>
      </c>
      <c r="L17" s="245">
        <f t="shared" si="9"/>
        <v>4.5039423076923093</v>
      </c>
      <c r="M17" s="238">
        <f t="shared" si="3"/>
        <v>5.1788708791208808</v>
      </c>
      <c r="N17" s="238">
        <f t="shared" si="4"/>
        <v>155.38166454008044</v>
      </c>
    </row>
    <row r="18" spans="1:22">
      <c r="F18" s="245">
        <f t="shared" si="5"/>
        <v>4.7039423076923095</v>
      </c>
      <c r="G18" s="238">
        <f t="shared" si="1"/>
        <v>4.7039423076923095</v>
      </c>
      <c r="H18" s="245">
        <f t="shared" si="6"/>
        <v>4.7039423076923095</v>
      </c>
      <c r="I18" s="238">
        <f t="shared" si="7"/>
        <v>4.8659251648351667</v>
      </c>
      <c r="J18" s="245">
        <f t="shared" si="8"/>
        <v>4.7039423076923095</v>
      </c>
      <c r="K18" s="238">
        <f t="shared" si="2"/>
        <v>4.9739137362637384</v>
      </c>
      <c r="L18" s="245">
        <f t="shared" si="9"/>
        <v>4.7039423076923095</v>
      </c>
      <c r="M18" s="238">
        <f t="shared" si="3"/>
        <v>5.378870879120881</v>
      </c>
      <c r="N18" s="238">
        <f t="shared" si="4"/>
        <v>161.38226460008644</v>
      </c>
    </row>
    <row r="19" spans="1:22">
      <c r="F19" s="245">
        <f t="shared" si="5"/>
        <v>4.9039423076923097</v>
      </c>
      <c r="G19" s="238">
        <f t="shared" si="1"/>
        <v>4.9039423076923097</v>
      </c>
      <c r="H19" s="245">
        <f t="shared" si="6"/>
        <v>4.9039423076923097</v>
      </c>
      <c r="I19" s="238">
        <f t="shared" si="7"/>
        <v>5.0659251648351669</v>
      </c>
      <c r="J19" s="245">
        <f t="shared" si="8"/>
        <v>4.9039423076923097</v>
      </c>
      <c r="K19" s="238">
        <f t="shared" si="2"/>
        <v>5.1739137362637377</v>
      </c>
      <c r="L19" s="245">
        <f t="shared" si="9"/>
        <v>4.9039423076923097</v>
      </c>
      <c r="M19" s="238">
        <f t="shared" si="3"/>
        <v>5.5788708791208812</v>
      </c>
      <c r="N19" s="238">
        <f t="shared" si="4"/>
        <v>167.38286466009245</v>
      </c>
    </row>
    <row r="20" spans="1:22" ht="55.2">
      <c r="A20" s="243" t="s">
        <v>52</v>
      </c>
      <c r="B20" s="243" t="s">
        <v>279</v>
      </c>
      <c r="C20" s="243" t="s">
        <v>280</v>
      </c>
      <c r="D20" s="244"/>
      <c r="E20" s="244"/>
      <c r="F20" s="245">
        <f t="shared" si="5"/>
        <v>5.1039423076923098</v>
      </c>
      <c r="G20" s="238">
        <f t="shared" si="1"/>
        <v>5.1039423076923098</v>
      </c>
      <c r="H20" s="245">
        <f t="shared" si="6"/>
        <v>5.1039423076923098</v>
      </c>
      <c r="I20" s="238">
        <f t="shared" si="7"/>
        <v>5.265925164835167</v>
      </c>
      <c r="J20" s="245">
        <f t="shared" si="8"/>
        <v>5.1039423076923098</v>
      </c>
      <c r="K20" s="238">
        <f t="shared" si="2"/>
        <v>5.3739137362637388</v>
      </c>
      <c r="L20" s="245">
        <f t="shared" si="9"/>
        <v>5.1039423076923098</v>
      </c>
      <c r="M20" s="238">
        <f t="shared" si="3"/>
        <v>5.7788708791208814</v>
      </c>
      <c r="N20" s="238">
        <f t="shared" si="4"/>
        <v>173.38346472009846</v>
      </c>
    </row>
    <row r="21" spans="1:22">
      <c r="A21" s="238" t="s">
        <v>281</v>
      </c>
      <c r="B21" s="238">
        <v>87.5</v>
      </c>
      <c r="C21" s="238">
        <v>275.60000000000002</v>
      </c>
      <c r="F21" s="245">
        <f t="shared" si="5"/>
        <v>5.30394230769231</v>
      </c>
      <c r="G21" s="238">
        <f t="shared" si="1"/>
        <v>5.30394230769231</v>
      </c>
      <c r="H21" s="245">
        <f t="shared" si="6"/>
        <v>5.30394230769231</v>
      </c>
      <c r="I21" s="238">
        <f t="shared" si="7"/>
        <v>5.4659251648351672</v>
      </c>
      <c r="J21" s="245">
        <f t="shared" si="8"/>
        <v>5.30394230769231</v>
      </c>
      <c r="K21" s="238">
        <f t="shared" si="2"/>
        <v>5.573913736263739</v>
      </c>
      <c r="L21" s="245">
        <f t="shared" si="9"/>
        <v>5.30394230769231</v>
      </c>
      <c r="M21" s="238">
        <f t="shared" si="3"/>
        <v>5.9788708791208816</v>
      </c>
      <c r="N21" s="238">
        <f t="shared" si="4"/>
        <v>179.38406478010447</v>
      </c>
    </row>
    <row r="22" spans="1:22">
      <c r="A22" s="238">
        <v>4</v>
      </c>
      <c r="B22" s="238">
        <v>87.5</v>
      </c>
      <c r="C22" s="247">
        <f>4*B22</f>
        <v>350</v>
      </c>
    </row>
    <row r="23" spans="1:22">
      <c r="A23" s="238">
        <v>2.5</v>
      </c>
      <c r="B23" s="238">
        <v>87.5</v>
      </c>
      <c r="C23" s="247">
        <f>2.5*B23</f>
        <v>218.75</v>
      </c>
    </row>
    <row r="24" spans="1:22">
      <c r="A24" s="238">
        <v>1.5</v>
      </c>
      <c r="B24" s="238">
        <v>87.5</v>
      </c>
      <c r="C24" s="247">
        <f>1.5*B24</f>
        <v>131.25</v>
      </c>
    </row>
    <row r="25" spans="1:22">
      <c r="A25" s="238">
        <v>0.45</v>
      </c>
      <c r="B25" s="238">
        <v>87.5</v>
      </c>
      <c r="C25" s="247">
        <f>0.45*B25</f>
        <v>39.375</v>
      </c>
    </row>
    <row r="26" spans="1:22">
      <c r="A26" s="238" t="s">
        <v>282</v>
      </c>
      <c r="B26" s="238">
        <v>87.5</v>
      </c>
    </row>
    <row r="27" spans="1:22">
      <c r="F27" s="52" t="s">
        <v>57</v>
      </c>
      <c r="G27" s="52">
        <v>3</v>
      </c>
      <c r="H27" s="52">
        <v>4</v>
      </c>
      <c r="I27" s="52">
        <v>5</v>
      </c>
      <c r="J27" s="52">
        <v>6</v>
      </c>
      <c r="K27" s="52">
        <v>7</v>
      </c>
      <c r="L27" s="52">
        <v>8</v>
      </c>
      <c r="M27" s="52">
        <v>9</v>
      </c>
      <c r="N27" s="52">
        <v>10</v>
      </c>
      <c r="O27" s="52">
        <v>11</v>
      </c>
      <c r="P27" s="52">
        <v>12</v>
      </c>
      <c r="Q27" s="52">
        <v>13</v>
      </c>
      <c r="R27" s="52">
        <v>14</v>
      </c>
      <c r="S27" s="52">
        <v>15</v>
      </c>
      <c r="T27" s="238">
        <v>16</v>
      </c>
      <c r="U27" s="238">
        <v>17</v>
      </c>
      <c r="V27" s="238">
        <v>18</v>
      </c>
    </row>
    <row r="28" spans="1:22">
      <c r="F28" s="252" t="s">
        <v>285</v>
      </c>
      <c r="G28" s="238">
        <v>60.177597588978188</v>
      </c>
      <c r="H28" s="238">
        <v>65.401478185993128</v>
      </c>
      <c r="I28" s="238">
        <v>70.625358783008039</v>
      </c>
      <c r="J28" s="238">
        <v>75.849239380022979</v>
      </c>
      <c r="K28" s="238">
        <v>81.073119977037905</v>
      </c>
      <c r="L28" s="238">
        <v>86.297000574052831</v>
      </c>
      <c r="M28" s="238">
        <v>91.520881171067771</v>
      </c>
      <c r="N28" s="238">
        <v>96.744761768082697</v>
      </c>
      <c r="O28" s="238">
        <v>101.96864236509762</v>
      </c>
      <c r="P28" s="238">
        <v>107.19252296211253</v>
      </c>
      <c r="Q28" s="238">
        <v>112.41640355912747</v>
      </c>
      <c r="R28" s="238">
        <v>117.6402841561424</v>
      </c>
      <c r="S28" s="238">
        <v>122.86416475315734</v>
      </c>
      <c r="T28" s="238">
        <v>128.08804535017225</v>
      </c>
      <c r="U28" s="238">
        <v>133.31192594718721</v>
      </c>
      <c r="V28" s="238">
        <v>138.53580654420213</v>
      </c>
    </row>
    <row r="29" spans="1:22">
      <c r="F29" s="252" t="s">
        <v>122</v>
      </c>
      <c r="G29" s="238">
        <v>2.3039423076923078</v>
      </c>
      <c r="H29" s="238">
        <v>2.503942307692308</v>
      </c>
      <c r="I29" s="238">
        <v>2.7039423076923081</v>
      </c>
      <c r="J29" s="238">
        <v>2.9039423076923083</v>
      </c>
      <c r="K29" s="238">
        <v>3.1039423076923089</v>
      </c>
      <c r="L29" s="238">
        <v>3.3039423076923087</v>
      </c>
      <c r="M29" s="238">
        <v>3.5039423076923089</v>
      </c>
      <c r="N29" s="238">
        <v>3.7039423076923086</v>
      </c>
      <c r="O29" s="238">
        <v>3.9039423076923097</v>
      </c>
      <c r="P29" s="238">
        <v>4.1039423076923089</v>
      </c>
      <c r="Q29" s="238">
        <v>4.3039423076923091</v>
      </c>
      <c r="R29" s="238">
        <v>4.5039423076923093</v>
      </c>
      <c r="S29" s="238">
        <v>4.7039423076923095</v>
      </c>
      <c r="T29" s="238">
        <v>4.9039423076923097</v>
      </c>
      <c r="U29" s="238">
        <v>5.1039423076923098</v>
      </c>
      <c r="V29" s="238">
        <v>5.30394230769231</v>
      </c>
    </row>
    <row r="30" spans="1:22" ht="15.6">
      <c r="F30" s="252" t="s">
        <v>286</v>
      </c>
      <c r="G30" s="238">
        <v>2.465925164835165</v>
      </c>
      <c r="H30" s="238">
        <v>2.6659251648351647</v>
      </c>
      <c r="I30" s="238">
        <v>2.8659251648351654</v>
      </c>
      <c r="J30" s="238">
        <v>3.065925164835166</v>
      </c>
      <c r="K30" s="238">
        <v>3.2659251648351657</v>
      </c>
      <c r="L30" s="238">
        <v>3.4659251648351659</v>
      </c>
      <c r="M30" s="238">
        <v>3.6659251648351656</v>
      </c>
      <c r="N30" s="238">
        <v>3.8659251648351658</v>
      </c>
      <c r="O30" s="238">
        <v>4.0659251648351669</v>
      </c>
      <c r="P30" s="238">
        <v>4.2659251648351662</v>
      </c>
      <c r="Q30" s="238">
        <v>4.4659251648351663</v>
      </c>
      <c r="R30" s="238">
        <v>4.6659251648351665</v>
      </c>
      <c r="S30" s="238">
        <v>4.8659251648351667</v>
      </c>
      <c r="T30" s="238">
        <v>5.0659251648351669</v>
      </c>
      <c r="U30" s="238">
        <v>5.265925164835167</v>
      </c>
      <c r="V30" s="238">
        <v>5.4659251648351672</v>
      </c>
    </row>
    <row r="31" spans="1:22" ht="15.6">
      <c r="F31" s="252" t="s">
        <v>287</v>
      </c>
      <c r="G31" s="238">
        <v>2.5739137362637363</v>
      </c>
      <c r="H31" s="238">
        <v>2.7739137362637365</v>
      </c>
      <c r="I31" s="238">
        <v>2.9739137362637367</v>
      </c>
      <c r="J31" s="238">
        <v>3.1739137362637369</v>
      </c>
      <c r="K31" s="238">
        <v>3.3739137362637375</v>
      </c>
      <c r="L31" s="238">
        <v>3.5739137362637372</v>
      </c>
      <c r="M31" s="238">
        <v>3.7739137362637374</v>
      </c>
      <c r="N31" s="238">
        <v>3.9739137362637376</v>
      </c>
      <c r="O31" s="238">
        <v>4.1739137362637377</v>
      </c>
      <c r="P31" s="238">
        <v>4.373913736263737</v>
      </c>
      <c r="Q31" s="238">
        <v>4.5739137362637381</v>
      </c>
      <c r="R31" s="238">
        <v>4.7739137362637383</v>
      </c>
      <c r="S31" s="238">
        <v>4.9739137362637384</v>
      </c>
      <c r="T31" s="238">
        <v>5.1739137362637377</v>
      </c>
      <c r="U31" s="238">
        <v>5.3739137362637388</v>
      </c>
      <c r="V31" s="238">
        <v>5.573913736263739</v>
      </c>
    </row>
    <row r="32" spans="1:22" ht="15.6">
      <c r="F32" s="252" t="s">
        <v>288</v>
      </c>
      <c r="G32" s="238">
        <v>2.9788708791208793</v>
      </c>
      <c r="H32" s="238">
        <v>3.1788708791208795</v>
      </c>
      <c r="I32" s="238">
        <v>3.3788708791208801</v>
      </c>
      <c r="J32" s="238">
        <v>3.5788708791208799</v>
      </c>
      <c r="K32" s="238">
        <v>3.77887087912088</v>
      </c>
      <c r="L32" s="238">
        <v>3.9788708791208798</v>
      </c>
      <c r="M32" s="238">
        <v>4.17887087912088</v>
      </c>
      <c r="N32" s="238">
        <v>4.3788708791208801</v>
      </c>
      <c r="O32" s="238">
        <v>4.5788708791208812</v>
      </c>
      <c r="P32" s="238">
        <v>4.7788708791208796</v>
      </c>
      <c r="Q32" s="238">
        <v>4.9788708791208816</v>
      </c>
      <c r="R32" s="238">
        <v>5.1788708791208808</v>
      </c>
      <c r="S32" s="238">
        <v>5.378870879120881</v>
      </c>
      <c r="T32" s="238">
        <v>5.5788708791208812</v>
      </c>
      <c r="U32" s="238">
        <v>5.7788708791208814</v>
      </c>
      <c r="V32" s="238">
        <v>5.9788708791208816</v>
      </c>
    </row>
    <row r="33" spans="1:22">
      <c r="F33" s="252" t="s">
        <v>126</v>
      </c>
      <c r="G33" s="52">
        <f t="shared" ref="G33:S33" si="10">G29</f>
        <v>2.3039423076923078</v>
      </c>
      <c r="H33" s="52">
        <f t="shared" si="10"/>
        <v>2.503942307692308</v>
      </c>
      <c r="I33" s="52">
        <f t="shared" si="10"/>
        <v>2.7039423076923081</v>
      </c>
      <c r="J33" s="52">
        <f t="shared" si="10"/>
        <v>2.9039423076923083</v>
      </c>
      <c r="K33" s="52">
        <f t="shared" si="10"/>
        <v>3.1039423076923089</v>
      </c>
      <c r="L33" s="52">
        <f t="shared" si="10"/>
        <v>3.3039423076923087</v>
      </c>
      <c r="M33" s="52">
        <f t="shared" si="10"/>
        <v>3.5039423076923089</v>
      </c>
      <c r="N33" s="52">
        <f t="shared" si="10"/>
        <v>3.7039423076923086</v>
      </c>
      <c r="O33" s="52">
        <f>O29</f>
        <v>3.9039423076923097</v>
      </c>
      <c r="P33" s="52">
        <f t="shared" si="10"/>
        <v>4.1039423076923089</v>
      </c>
      <c r="Q33" s="52">
        <f>Q29</f>
        <v>4.3039423076923091</v>
      </c>
      <c r="R33" s="52">
        <f>R29</f>
        <v>4.5039423076923093</v>
      </c>
      <c r="S33" s="52">
        <f t="shared" si="10"/>
        <v>4.7039423076923095</v>
      </c>
      <c r="T33" s="52">
        <f>T29</f>
        <v>4.9039423076923097</v>
      </c>
      <c r="U33" s="52">
        <f>U29</f>
        <v>5.1039423076923098</v>
      </c>
      <c r="V33" s="52">
        <f>V29</f>
        <v>5.30394230769231</v>
      </c>
    </row>
    <row r="34" spans="1:22">
      <c r="F34" s="252" t="s">
        <v>66</v>
      </c>
      <c r="G34" s="52">
        <f t="shared" ref="G34:V36" si="11">G30-G29</f>
        <v>0.16198285714285721</v>
      </c>
      <c r="H34" s="52">
        <f t="shared" si="11"/>
        <v>0.16198285714285676</v>
      </c>
      <c r="I34" s="52">
        <f t="shared" si="11"/>
        <v>0.16198285714285721</v>
      </c>
      <c r="J34" s="52">
        <f t="shared" si="11"/>
        <v>0.16198285714285765</v>
      </c>
      <c r="K34" s="52">
        <f t="shared" si="11"/>
        <v>0.16198285714285676</v>
      </c>
      <c r="L34" s="52">
        <f t="shared" si="11"/>
        <v>0.16198285714285721</v>
      </c>
      <c r="M34" s="52">
        <f t="shared" si="11"/>
        <v>0.16198285714285676</v>
      </c>
      <c r="N34" s="52">
        <f t="shared" si="11"/>
        <v>0.16198285714285721</v>
      </c>
      <c r="O34" s="52">
        <f t="shared" si="11"/>
        <v>0.16198285714285721</v>
      </c>
      <c r="P34" s="52">
        <f t="shared" si="11"/>
        <v>0.16198285714285721</v>
      </c>
      <c r="Q34" s="52">
        <f t="shared" si="11"/>
        <v>0.16198285714285721</v>
      </c>
      <c r="R34" s="52">
        <f t="shared" si="11"/>
        <v>0.16198285714285721</v>
      </c>
      <c r="S34" s="52">
        <f t="shared" si="11"/>
        <v>0.16198285714285721</v>
      </c>
      <c r="T34" s="52">
        <f t="shared" si="11"/>
        <v>0.16198285714285721</v>
      </c>
      <c r="U34" s="52">
        <f t="shared" si="11"/>
        <v>0.16198285714285721</v>
      </c>
      <c r="V34" s="52">
        <f t="shared" si="11"/>
        <v>0.16198285714285721</v>
      </c>
    </row>
    <row r="35" spans="1:22">
      <c r="F35" s="252" t="s">
        <v>130</v>
      </c>
      <c r="G35" s="52">
        <f>G31-G30</f>
        <v>0.10798857142857132</v>
      </c>
      <c r="H35" s="52">
        <f t="shared" si="11"/>
        <v>0.10798857142857177</v>
      </c>
      <c r="I35" s="52">
        <f t="shared" si="11"/>
        <v>0.10798857142857132</v>
      </c>
      <c r="J35" s="52">
        <f t="shared" si="11"/>
        <v>0.10798857142857088</v>
      </c>
      <c r="K35" s="52">
        <f t="shared" si="11"/>
        <v>0.10798857142857177</v>
      </c>
      <c r="L35" s="52">
        <f t="shared" si="11"/>
        <v>0.10798857142857132</v>
      </c>
      <c r="M35" s="52">
        <f t="shared" si="11"/>
        <v>0.10798857142857177</v>
      </c>
      <c r="N35" s="52">
        <f t="shared" si="11"/>
        <v>0.10798857142857177</v>
      </c>
      <c r="O35" s="52">
        <f t="shared" si="11"/>
        <v>0.10798857142857088</v>
      </c>
      <c r="P35" s="52">
        <f t="shared" si="11"/>
        <v>0.10798857142857088</v>
      </c>
      <c r="Q35" s="52">
        <f t="shared" si="11"/>
        <v>0.10798857142857177</v>
      </c>
      <c r="R35" s="52">
        <f t="shared" si="11"/>
        <v>0.10798857142857177</v>
      </c>
      <c r="S35" s="52">
        <f t="shared" si="11"/>
        <v>0.10798857142857177</v>
      </c>
      <c r="T35" s="52">
        <f t="shared" si="11"/>
        <v>0.10798857142857088</v>
      </c>
      <c r="U35" s="52">
        <f t="shared" si="11"/>
        <v>0.10798857142857177</v>
      </c>
      <c r="V35" s="52">
        <f t="shared" si="11"/>
        <v>0.10798857142857177</v>
      </c>
    </row>
    <row r="36" spans="1:22">
      <c r="F36" s="252" t="s">
        <v>131</v>
      </c>
      <c r="G36" s="52">
        <f>G32-G31</f>
        <v>0.40495714285714302</v>
      </c>
      <c r="H36" s="52">
        <f t="shared" si="11"/>
        <v>0.40495714285714302</v>
      </c>
      <c r="I36" s="52">
        <f t="shared" si="11"/>
        <v>0.40495714285714346</v>
      </c>
      <c r="J36" s="52">
        <f t="shared" si="11"/>
        <v>0.40495714285714302</v>
      </c>
      <c r="K36" s="52">
        <f t="shared" si="11"/>
        <v>0.40495714285714257</v>
      </c>
      <c r="L36" s="52">
        <f t="shared" si="11"/>
        <v>0.40495714285714257</v>
      </c>
      <c r="M36" s="52">
        <f t="shared" si="11"/>
        <v>0.40495714285714257</v>
      </c>
      <c r="N36" s="52">
        <f t="shared" si="11"/>
        <v>0.40495714285714257</v>
      </c>
      <c r="O36" s="52">
        <f t="shared" si="11"/>
        <v>0.40495714285714346</v>
      </c>
      <c r="P36" s="52">
        <f t="shared" si="11"/>
        <v>0.40495714285714257</v>
      </c>
      <c r="Q36" s="52">
        <f t="shared" si="11"/>
        <v>0.40495714285714346</v>
      </c>
      <c r="R36" s="52">
        <f t="shared" si="11"/>
        <v>0.40495714285714257</v>
      </c>
      <c r="S36" s="52">
        <f t="shared" si="11"/>
        <v>0.40495714285714257</v>
      </c>
      <c r="T36" s="52">
        <f t="shared" si="11"/>
        <v>0.40495714285714346</v>
      </c>
      <c r="U36" s="52">
        <f t="shared" si="11"/>
        <v>0.40495714285714257</v>
      </c>
      <c r="V36" s="52">
        <f t="shared" si="11"/>
        <v>0.40495714285714257</v>
      </c>
    </row>
    <row r="39" spans="1:22">
      <c r="A39" s="238" t="s">
        <v>272</v>
      </c>
      <c r="B39" s="238" t="s">
        <v>273</v>
      </c>
      <c r="C39" s="238" t="s">
        <v>274</v>
      </c>
      <c r="D39" s="238" t="s">
        <v>275</v>
      </c>
      <c r="E39" s="238" t="s">
        <v>121</v>
      </c>
    </row>
    <row r="40" spans="1:22">
      <c r="A40" s="238">
        <v>2016</v>
      </c>
      <c r="B40" s="238">
        <f>C40/3.35</f>
        <v>0.68774397244546503</v>
      </c>
      <c r="C40" s="245">
        <v>2.3039423076923078</v>
      </c>
      <c r="D40" s="238">
        <f>B40*$B$21</f>
        <v>60.177597588978188</v>
      </c>
      <c r="E40" s="245">
        <f>1000*B40/12.7</f>
        <v>54.153068696493314</v>
      </c>
    </row>
    <row r="41" spans="1:22">
      <c r="A41" s="238">
        <v>2020</v>
      </c>
      <c r="B41" s="238">
        <f t="shared" ref="B41:B55" si="12">C41/3.35</f>
        <v>0.74744546498277853</v>
      </c>
      <c r="C41" s="245">
        <f>C40+0.2</f>
        <v>2.503942307692308</v>
      </c>
      <c r="D41" s="238">
        <f t="shared" ref="D41:D55" si="13">B41*$B$21</f>
        <v>65.401478185993128</v>
      </c>
      <c r="E41" s="245">
        <f>1000*B41/12.7</f>
        <v>58.853973620691221</v>
      </c>
    </row>
    <row r="42" spans="1:22">
      <c r="A42" s="238">
        <v>2017</v>
      </c>
      <c r="B42" s="238">
        <f t="shared" si="12"/>
        <v>0.80714695752009191</v>
      </c>
      <c r="C42" s="245">
        <f t="shared" ref="C42:C55" si="14">C41+0.2</f>
        <v>2.7039423076923081</v>
      </c>
      <c r="D42" s="238">
        <f t="shared" si="13"/>
        <v>70.625358783008039</v>
      </c>
      <c r="E42" s="245">
        <f t="shared" ref="E42:E55" si="15">1000*B42/12.7</f>
        <v>63.554878544889128</v>
      </c>
    </row>
    <row r="43" spans="1:22">
      <c r="A43" s="238">
        <v>2015</v>
      </c>
      <c r="B43" s="238">
        <f t="shared" si="12"/>
        <v>0.86684845005740541</v>
      </c>
      <c r="C43" s="245">
        <f t="shared" si="14"/>
        <v>2.9039423076923083</v>
      </c>
      <c r="D43" s="238">
        <f t="shared" si="13"/>
        <v>75.849239380022979</v>
      </c>
      <c r="E43" s="245">
        <f>1000*B43/12.7</f>
        <v>68.255783469087049</v>
      </c>
    </row>
    <row r="44" spans="1:22">
      <c r="A44" s="238">
        <v>2010</v>
      </c>
      <c r="B44" s="238">
        <f t="shared" si="12"/>
        <v>0.9265499425947189</v>
      </c>
      <c r="C44" s="245">
        <f t="shared" si="14"/>
        <v>3.1039423076923085</v>
      </c>
      <c r="D44" s="238">
        <f t="shared" si="13"/>
        <v>81.073119977037905</v>
      </c>
      <c r="E44" s="245">
        <f t="shared" si="15"/>
        <v>72.956688393284963</v>
      </c>
    </row>
    <row r="45" spans="1:22">
      <c r="A45" s="238">
        <v>2019</v>
      </c>
      <c r="B45" s="238">
        <f t="shared" si="12"/>
        <v>0.98625143513203239</v>
      </c>
      <c r="C45" s="245">
        <f t="shared" si="14"/>
        <v>3.3039423076923087</v>
      </c>
      <c r="D45" s="238">
        <f t="shared" si="13"/>
        <v>86.297000574052831</v>
      </c>
      <c r="E45" s="245">
        <f t="shared" si="15"/>
        <v>77.657593317482863</v>
      </c>
    </row>
    <row r="46" spans="1:22">
      <c r="A46" s="238">
        <v>2018</v>
      </c>
      <c r="B46" s="238">
        <f t="shared" si="12"/>
        <v>1.045952927669346</v>
      </c>
      <c r="C46" s="245">
        <f t="shared" si="14"/>
        <v>3.5039423076923089</v>
      </c>
      <c r="D46" s="238">
        <f t="shared" si="13"/>
        <v>91.520881171067771</v>
      </c>
      <c r="E46" s="245">
        <f t="shared" si="15"/>
        <v>82.358498241680792</v>
      </c>
    </row>
    <row r="47" spans="1:22">
      <c r="A47" s="238">
        <v>2021</v>
      </c>
      <c r="B47" s="238">
        <f t="shared" si="12"/>
        <v>1.1056544202066594</v>
      </c>
      <c r="C47" s="245">
        <f t="shared" si="14"/>
        <v>3.703942307692309</v>
      </c>
      <c r="D47" s="238">
        <f t="shared" si="13"/>
        <v>96.744761768082697</v>
      </c>
      <c r="E47" s="245">
        <f t="shared" si="15"/>
        <v>87.059403165878692</v>
      </c>
    </row>
    <row r="48" spans="1:22">
      <c r="A48" s="238">
        <v>2014</v>
      </c>
      <c r="B48" s="238">
        <f t="shared" si="12"/>
        <v>1.1653559127439728</v>
      </c>
      <c r="C48" s="245">
        <f t="shared" si="14"/>
        <v>3.9039423076923092</v>
      </c>
      <c r="D48" s="238">
        <f t="shared" si="13"/>
        <v>101.96864236509762</v>
      </c>
      <c r="E48" s="245">
        <f t="shared" si="15"/>
        <v>91.760308090076606</v>
      </c>
      <c r="I48" s="254"/>
    </row>
    <row r="49" spans="1:5">
      <c r="A49" s="238">
        <v>2011</v>
      </c>
      <c r="B49" s="238">
        <f t="shared" si="12"/>
        <v>1.2250574052812861</v>
      </c>
      <c r="C49" s="245">
        <f t="shared" si="14"/>
        <v>4.1039423076923089</v>
      </c>
      <c r="D49" s="238">
        <f t="shared" si="13"/>
        <v>107.19252296211253</v>
      </c>
      <c r="E49" s="245">
        <f t="shared" si="15"/>
        <v>96.461213014274492</v>
      </c>
    </row>
    <row r="50" spans="1:5">
      <c r="A50" s="238">
        <v>2013</v>
      </c>
      <c r="B50" s="238">
        <f t="shared" si="12"/>
        <v>1.2847588978185998</v>
      </c>
      <c r="C50" s="245">
        <f t="shared" si="14"/>
        <v>4.3039423076923091</v>
      </c>
      <c r="D50" s="238">
        <f t="shared" si="13"/>
        <v>112.41640355912747</v>
      </c>
      <c r="E50" s="245">
        <f t="shared" si="15"/>
        <v>101.16211793847242</v>
      </c>
    </row>
    <row r="51" spans="1:5">
      <c r="A51" s="238">
        <v>2012</v>
      </c>
      <c r="B51" s="238">
        <f t="shared" si="12"/>
        <v>1.3444603903559131</v>
      </c>
      <c r="C51" s="245">
        <f t="shared" si="14"/>
        <v>4.5039423076923093</v>
      </c>
      <c r="D51" s="238">
        <f t="shared" si="13"/>
        <v>117.6402841561424</v>
      </c>
      <c r="E51" s="245">
        <f t="shared" si="15"/>
        <v>105.86302286267033</v>
      </c>
    </row>
    <row r="52" spans="1:5">
      <c r="A52" s="238">
        <v>2022</v>
      </c>
      <c r="B52" s="238">
        <f t="shared" si="12"/>
        <v>1.4041618828932267</v>
      </c>
      <c r="C52" s="245">
        <f t="shared" si="14"/>
        <v>4.7039423076923095</v>
      </c>
      <c r="D52" s="238">
        <f t="shared" si="13"/>
        <v>122.86416475315734</v>
      </c>
      <c r="E52" s="245">
        <f t="shared" si="15"/>
        <v>110.56392778686825</v>
      </c>
    </row>
    <row r="53" spans="1:5">
      <c r="A53" s="238" t="s">
        <v>19</v>
      </c>
      <c r="B53" s="238">
        <f t="shared" si="12"/>
        <v>1.4638633754305401</v>
      </c>
      <c r="C53" s="245">
        <f t="shared" si="14"/>
        <v>4.9039423076923097</v>
      </c>
      <c r="D53" s="238">
        <f t="shared" si="13"/>
        <v>128.08804535017225</v>
      </c>
      <c r="E53" s="245">
        <f t="shared" si="15"/>
        <v>115.26483271106616</v>
      </c>
    </row>
    <row r="54" spans="1:5">
      <c r="A54" s="238" t="s">
        <v>19</v>
      </c>
      <c r="B54" s="238">
        <f t="shared" si="12"/>
        <v>1.5235648679678537</v>
      </c>
      <c r="C54" s="245">
        <f t="shared" si="14"/>
        <v>5.1039423076923098</v>
      </c>
      <c r="D54" s="238">
        <f t="shared" si="13"/>
        <v>133.31192594718721</v>
      </c>
      <c r="E54" s="245">
        <f t="shared" si="15"/>
        <v>119.96573763526409</v>
      </c>
    </row>
    <row r="55" spans="1:5">
      <c r="A55" s="238" t="s">
        <v>19</v>
      </c>
      <c r="B55" s="238">
        <f t="shared" si="12"/>
        <v>1.5832663605051671</v>
      </c>
      <c r="C55" s="245">
        <f t="shared" si="14"/>
        <v>5.30394230769231</v>
      </c>
      <c r="D55" s="238">
        <f t="shared" si="13"/>
        <v>138.53580654420213</v>
      </c>
      <c r="E55" s="245">
        <f t="shared" si="15"/>
        <v>124.66664255946198</v>
      </c>
    </row>
    <row r="58" spans="1:5">
      <c r="A58" s="248" t="s">
        <v>283</v>
      </c>
      <c r="B58" s="248" t="s">
        <v>273</v>
      </c>
      <c r="C58" s="248" t="s">
        <v>275</v>
      </c>
    </row>
    <row r="59" spans="1:5">
      <c r="A59" s="248">
        <v>2016</v>
      </c>
      <c r="B59" s="248">
        <v>1</v>
      </c>
      <c r="C59" s="248">
        <f>B59*$B$26</f>
        <v>87.5</v>
      </c>
    </row>
    <row r="60" spans="1:5">
      <c r="A60" s="248">
        <v>2020</v>
      </c>
      <c r="B60" s="248">
        <v>2</v>
      </c>
      <c r="C60" s="248">
        <f t="shared" ref="C60:C64" si="16">B60*$B$26</f>
        <v>175</v>
      </c>
    </row>
    <row r="61" spans="1:5">
      <c r="A61" s="248">
        <v>2017</v>
      </c>
      <c r="B61" s="248">
        <v>3</v>
      </c>
      <c r="C61" s="248">
        <f t="shared" si="16"/>
        <v>262.5</v>
      </c>
    </row>
    <row r="62" spans="1:5">
      <c r="A62" s="248">
        <v>2015</v>
      </c>
      <c r="B62" s="248">
        <v>4</v>
      </c>
      <c r="C62" s="248">
        <f t="shared" si="16"/>
        <v>350</v>
      </c>
    </row>
    <row r="63" spans="1:5">
      <c r="A63" s="248">
        <v>2010</v>
      </c>
      <c r="B63" s="248">
        <v>5</v>
      </c>
      <c r="C63" s="248">
        <f t="shared" si="16"/>
        <v>437.5</v>
      </c>
    </row>
    <row r="64" spans="1:5">
      <c r="A64" s="248">
        <v>2019</v>
      </c>
      <c r="B64" s="248">
        <v>6</v>
      </c>
      <c r="C64" s="248">
        <f t="shared" si="16"/>
        <v>525</v>
      </c>
    </row>
    <row r="65" spans="1:3">
      <c r="A65" s="248">
        <v>2018</v>
      </c>
      <c r="B65" s="248">
        <v>7</v>
      </c>
      <c r="C65" s="248">
        <f>B65*$B$26</f>
        <v>612.5</v>
      </c>
    </row>
    <row r="66" spans="1:3">
      <c r="A66" s="248">
        <v>2021</v>
      </c>
      <c r="B66" s="248">
        <v>8</v>
      </c>
      <c r="C66" s="248">
        <f t="shared" ref="C66:C68" si="17">B66*$B$26</f>
        <v>700</v>
      </c>
    </row>
    <row r="67" spans="1:3">
      <c r="A67" s="248"/>
      <c r="B67" s="248">
        <v>4.5999999999999996</v>
      </c>
      <c r="C67" s="248">
        <f t="shared" si="17"/>
        <v>402.49999999999994</v>
      </c>
    </row>
    <row r="68" spans="1:3">
      <c r="A68" s="248"/>
      <c r="B68" s="248">
        <v>4.8</v>
      </c>
      <c r="C68" s="248">
        <f t="shared" si="17"/>
        <v>420</v>
      </c>
    </row>
    <row r="69" spans="1:3">
      <c r="A69" s="248"/>
      <c r="B69" s="248"/>
      <c r="C69" s="248"/>
    </row>
  </sheetData>
  <mergeCells count="6">
    <mergeCell ref="F3:N3"/>
    <mergeCell ref="A1:B1"/>
    <mergeCell ref="F4:G4"/>
    <mergeCell ref="H4:I4"/>
    <mergeCell ref="J4:K4"/>
    <mergeCell ref="L4:M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4441-6F6F-4B28-82B7-9E244942F4B4}">
  <dimension ref="A1:AL119"/>
  <sheetViews>
    <sheetView zoomScale="83" zoomScaleNormal="190" workbookViewId="0">
      <selection activeCell="I114" sqref="I114"/>
    </sheetView>
  </sheetViews>
  <sheetFormatPr defaultColWidth="8.88671875" defaultRowHeight="10.199999999999999"/>
  <cols>
    <col min="1" max="1" width="11.33203125" style="92" customWidth="1"/>
    <col min="2" max="2" width="9.88671875" style="92" customWidth="1"/>
    <col min="3" max="3" width="7.6640625" style="92" bestFit="1" customWidth="1"/>
    <col min="4" max="4" width="9.88671875" style="92" customWidth="1"/>
    <col min="5" max="5" width="10.6640625" style="92" customWidth="1"/>
    <col min="6" max="6" width="8" style="92" customWidth="1"/>
    <col min="7" max="22" width="7.6640625" style="92" bestFit="1" customWidth="1"/>
    <col min="23" max="23" width="9" style="92" customWidth="1"/>
    <col min="24" max="24" width="7.6640625" style="92" bestFit="1" customWidth="1"/>
    <col min="25" max="25" width="9.33203125" style="92" customWidth="1"/>
    <col min="26" max="38" width="7.6640625" style="92" bestFit="1" customWidth="1"/>
    <col min="39" max="16384" width="8.88671875" style="92"/>
  </cols>
  <sheetData>
    <row r="1" spans="1:38" ht="100.2" customHeight="1">
      <c r="A1" s="179" t="s">
        <v>211</v>
      </c>
      <c r="B1" s="180"/>
    </row>
    <row r="2" spans="1:38">
      <c r="A2" s="91"/>
      <c r="B2" s="108">
        <v>2020</v>
      </c>
      <c r="C2" s="223">
        <v>2035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4">
        <v>2040</v>
      </c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5">
        <v>2050</v>
      </c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</row>
    <row r="3" spans="1:38" s="111" customFormat="1" ht="40.799999999999997">
      <c r="A3" s="222" t="s">
        <v>247</v>
      </c>
      <c r="B3" s="93" t="s">
        <v>142</v>
      </c>
      <c r="C3" s="93" t="s">
        <v>248</v>
      </c>
      <c r="D3" s="93" t="s">
        <v>249</v>
      </c>
      <c r="E3" s="93" t="s">
        <v>250</v>
      </c>
      <c r="F3" s="93" t="s">
        <v>251</v>
      </c>
      <c r="G3" s="93" t="s">
        <v>252</v>
      </c>
      <c r="H3" s="93" t="s">
        <v>253</v>
      </c>
      <c r="I3" s="93" t="s">
        <v>254</v>
      </c>
      <c r="J3" s="93" t="s">
        <v>255</v>
      </c>
      <c r="K3" s="93" t="s">
        <v>256</v>
      </c>
      <c r="L3" s="93" t="s">
        <v>257</v>
      </c>
      <c r="M3" s="93" t="s">
        <v>258</v>
      </c>
      <c r="N3" s="93" t="s">
        <v>259</v>
      </c>
      <c r="O3" s="93" t="s">
        <v>248</v>
      </c>
      <c r="P3" s="93" t="s">
        <v>249</v>
      </c>
      <c r="Q3" s="93" t="s">
        <v>250</v>
      </c>
      <c r="R3" s="93" t="s">
        <v>251</v>
      </c>
      <c r="S3" s="93" t="s">
        <v>252</v>
      </c>
      <c r="T3" s="93" t="s">
        <v>253</v>
      </c>
      <c r="U3" s="93" t="s">
        <v>254</v>
      </c>
      <c r="V3" s="93" t="s">
        <v>255</v>
      </c>
      <c r="W3" s="93" t="s">
        <v>256</v>
      </c>
      <c r="X3" s="93" t="s">
        <v>257</v>
      </c>
      <c r="Y3" s="93" t="s">
        <v>258</v>
      </c>
      <c r="Z3" s="93" t="s">
        <v>259</v>
      </c>
      <c r="AA3" s="93" t="s">
        <v>248</v>
      </c>
      <c r="AB3" s="93" t="s">
        <v>249</v>
      </c>
      <c r="AC3" s="93" t="s">
        <v>250</v>
      </c>
      <c r="AD3" s="93" t="s">
        <v>251</v>
      </c>
      <c r="AE3" s="93" t="s">
        <v>252</v>
      </c>
      <c r="AF3" s="93" t="s">
        <v>253</v>
      </c>
      <c r="AG3" s="93" t="s">
        <v>254</v>
      </c>
      <c r="AH3" s="93" t="s">
        <v>255</v>
      </c>
      <c r="AI3" s="93" t="s">
        <v>256</v>
      </c>
      <c r="AJ3" s="93" t="s">
        <v>257</v>
      </c>
      <c r="AK3" s="93" t="s">
        <v>258</v>
      </c>
      <c r="AL3" s="93" t="s">
        <v>259</v>
      </c>
    </row>
    <row r="4" spans="1:38" s="111" customFormat="1">
      <c r="A4" s="226" t="s">
        <v>143</v>
      </c>
      <c r="B4" s="98">
        <f t="shared" ref="B4:AL4" si="0">$B$21*B$13</f>
        <v>3077428.9655172415</v>
      </c>
      <c r="C4" s="132">
        <f t="shared" si="0"/>
        <v>6195350.4174228674</v>
      </c>
      <c r="D4" s="132">
        <f t="shared" si="0"/>
        <v>9116815.8417640068</v>
      </c>
      <c r="E4" s="132">
        <f t="shared" si="0"/>
        <v>13499655.237536406</v>
      </c>
      <c r="F4" s="132">
        <f t="shared" si="0"/>
        <v>6081971.4555353904</v>
      </c>
      <c r="G4" s="132">
        <f t="shared" si="0"/>
        <v>6179153.4228675133</v>
      </c>
      <c r="H4" s="132">
        <f t="shared" si="0"/>
        <v>6057675.9637023592</v>
      </c>
      <c r="I4" s="132">
        <f t="shared" si="0"/>
        <v>6835131.7023593467</v>
      </c>
      <c r="J4" s="132">
        <f t="shared" si="0"/>
        <v>6041478.9691470051</v>
      </c>
      <c r="K4" s="132">
        <f t="shared" si="0"/>
        <v>5304515.716878403</v>
      </c>
      <c r="L4" s="132">
        <f t="shared" si="0"/>
        <v>7442518.9981851177</v>
      </c>
      <c r="M4" s="132">
        <f t="shared" si="0"/>
        <v>5199235.2522686021</v>
      </c>
      <c r="N4" s="132">
        <f t="shared" si="0"/>
        <v>6989003.1506352089</v>
      </c>
      <c r="O4" s="132">
        <f t="shared" si="0"/>
        <v>6916116.6751361163</v>
      </c>
      <c r="P4" s="132">
        <f t="shared" si="0"/>
        <v>12218632.540998271</v>
      </c>
      <c r="Q4" s="132">
        <f t="shared" si="0"/>
        <v>16376703.489836952</v>
      </c>
      <c r="R4" s="132">
        <f t="shared" si="0"/>
        <v>6673161.7568058074</v>
      </c>
      <c r="S4" s="132">
        <f t="shared" si="0"/>
        <v>7102382.1125226859</v>
      </c>
      <c r="T4" s="132">
        <f t="shared" si="0"/>
        <v>6438305.3357531764</v>
      </c>
      <c r="U4" s="132">
        <f t="shared" si="0"/>
        <v>7717867.905626134</v>
      </c>
      <c r="V4" s="132">
        <f t="shared" si="0"/>
        <v>6616472.2758620689</v>
      </c>
      <c r="W4" s="132">
        <f t="shared" si="0"/>
        <v>5758031.5644283118</v>
      </c>
      <c r="X4" s="132">
        <f t="shared" si="0"/>
        <v>8365747.6878402904</v>
      </c>
      <c r="Y4" s="132">
        <f t="shared" si="0"/>
        <v>5515076.6460980037</v>
      </c>
      <c r="Z4" s="132">
        <f t="shared" si="0"/>
        <v>8138989.7640653355</v>
      </c>
      <c r="AA4" s="132">
        <f t="shared" si="0"/>
        <v>8989331.9782214165</v>
      </c>
      <c r="AB4" s="132">
        <f t="shared" si="0"/>
        <v>19859235.891103011</v>
      </c>
      <c r="AC4" s="132">
        <f t="shared" si="0"/>
        <v>21035283.468772706</v>
      </c>
      <c r="AD4" s="132">
        <f t="shared" si="0"/>
        <v>8074201.78584392</v>
      </c>
      <c r="AE4" s="132">
        <f t="shared" si="0"/>
        <v>8924544</v>
      </c>
      <c r="AF4" s="132">
        <f t="shared" si="0"/>
        <v>7442518.9981851177</v>
      </c>
      <c r="AG4" s="132">
        <f t="shared" si="0"/>
        <v>9240385.3938294016</v>
      </c>
      <c r="AH4" s="132">
        <f t="shared" si="0"/>
        <v>7831246.8675136119</v>
      </c>
      <c r="AI4" s="132">
        <f t="shared" si="0"/>
        <v>6989003.1506352089</v>
      </c>
      <c r="AJ4" s="132">
        <f t="shared" si="0"/>
        <v>10463258.482758621</v>
      </c>
      <c r="AK4" s="132">
        <f t="shared" si="0"/>
        <v>6478797.8221415607</v>
      </c>
      <c r="AL4" s="132">
        <f t="shared" si="0"/>
        <v>11435078.156079855</v>
      </c>
    </row>
    <row r="5" spans="1:38" ht="20.399999999999999">
      <c r="A5" s="109" t="s">
        <v>144</v>
      </c>
      <c r="B5" s="98">
        <f t="shared" ref="B5:AL5" si="1">B$4*$B$15</f>
        <v>307742.89655172417</v>
      </c>
      <c r="C5" s="98">
        <f t="shared" si="1"/>
        <v>619535.04174228676</v>
      </c>
      <c r="D5" s="98">
        <f t="shared" si="1"/>
        <v>911681.58417640068</v>
      </c>
      <c r="E5" s="98">
        <f t="shared" si="1"/>
        <v>1349965.5237536407</v>
      </c>
      <c r="F5" s="98">
        <f t="shared" si="1"/>
        <v>608197.14555353904</v>
      </c>
      <c r="G5" s="98">
        <f t="shared" si="1"/>
        <v>617915.34228675137</v>
      </c>
      <c r="H5" s="98">
        <f t="shared" si="1"/>
        <v>605767.5963702359</v>
      </c>
      <c r="I5" s="98">
        <f t="shared" si="1"/>
        <v>683513.17023593467</v>
      </c>
      <c r="J5" s="98">
        <f t="shared" si="1"/>
        <v>604147.89691470051</v>
      </c>
      <c r="K5" s="98">
        <f t="shared" si="1"/>
        <v>530451.57168784027</v>
      </c>
      <c r="L5" s="98">
        <f t="shared" si="1"/>
        <v>744251.8998185118</v>
      </c>
      <c r="M5" s="98">
        <f t="shared" si="1"/>
        <v>519923.52522686025</v>
      </c>
      <c r="N5" s="98">
        <f t="shared" si="1"/>
        <v>698900.31506352092</v>
      </c>
      <c r="O5" s="98">
        <f t="shared" si="1"/>
        <v>691611.66751361173</v>
      </c>
      <c r="P5" s="98">
        <f t="shared" si="1"/>
        <v>1221863.254099827</v>
      </c>
      <c r="Q5" s="98">
        <f t="shared" si="1"/>
        <v>1637670.3489836953</v>
      </c>
      <c r="R5" s="98">
        <f t="shared" si="1"/>
        <v>667316.17568058078</v>
      </c>
      <c r="S5" s="98">
        <f t="shared" si="1"/>
        <v>710238.21125226864</v>
      </c>
      <c r="T5" s="98">
        <f t="shared" si="1"/>
        <v>643830.53357531771</v>
      </c>
      <c r="U5" s="98">
        <f t="shared" si="1"/>
        <v>771786.7905626134</v>
      </c>
      <c r="V5" s="98">
        <f t="shared" si="1"/>
        <v>661647.22758620698</v>
      </c>
      <c r="W5" s="98">
        <f t="shared" si="1"/>
        <v>575803.15644283115</v>
      </c>
      <c r="X5" s="98">
        <f t="shared" si="1"/>
        <v>836574.76878402906</v>
      </c>
      <c r="Y5" s="98">
        <f t="shared" si="1"/>
        <v>551507.66460980044</v>
      </c>
      <c r="Z5" s="98">
        <f t="shared" si="1"/>
        <v>813898.97640653362</v>
      </c>
      <c r="AA5" s="98">
        <f t="shared" si="1"/>
        <v>898933.19782214169</v>
      </c>
      <c r="AB5" s="98">
        <f t="shared" si="1"/>
        <v>1985923.5891103011</v>
      </c>
      <c r="AC5" s="98">
        <f t="shared" si="1"/>
        <v>2103528.3468772708</v>
      </c>
      <c r="AD5" s="98">
        <f t="shared" si="1"/>
        <v>807420.17858439207</v>
      </c>
      <c r="AE5" s="98">
        <f t="shared" si="1"/>
        <v>892454.40000000002</v>
      </c>
      <c r="AF5" s="98">
        <f t="shared" si="1"/>
        <v>744251.8998185118</v>
      </c>
      <c r="AG5" s="98">
        <f t="shared" si="1"/>
        <v>924038.53938294016</v>
      </c>
      <c r="AH5" s="98">
        <f t="shared" si="1"/>
        <v>783124.68675136124</v>
      </c>
      <c r="AI5" s="98">
        <f t="shared" si="1"/>
        <v>698900.31506352092</v>
      </c>
      <c r="AJ5" s="98">
        <f t="shared" si="1"/>
        <v>1046325.8482758622</v>
      </c>
      <c r="AK5" s="98">
        <f t="shared" si="1"/>
        <v>647879.78221415612</v>
      </c>
      <c r="AL5" s="98">
        <f t="shared" si="1"/>
        <v>1143507.8156079855</v>
      </c>
    </row>
    <row r="6" spans="1:38" ht="20.399999999999999">
      <c r="A6" s="109" t="s">
        <v>145</v>
      </c>
      <c r="B6" s="98">
        <f t="shared" ref="B6:AL6" si="2">B$4*$B$16</f>
        <v>2769686.0689655175</v>
      </c>
      <c r="C6" s="98">
        <f t="shared" si="2"/>
        <v>5575815.3756805807</v>
      </c>
      <c r="D6" s="98">
        <f t="shared" si="2"/>
        <v>8205134.2575876061</v>
      </c>
      <c r="E6" s="98">
        <f t="shared" si="2"/>
        <v>12149689.713782765</v>
      </c>
      <c r="F6" s="98">
        <f t="shared" si="2"/>
        <v>5473774.3099818518</v>
      </c>
      <c r="G6" s="98">
        <f t="shared" si="2"/>
        <v>5561238.0805807617</v>
      </c>
      <c r="H6" s="98">
        <f t="shared" si="2"/>
        <v>5451908.3673321232</v>
      </c>
      <c r="I6" s="98">
        <f t="shared" si="2"/>
        <v>6151618.532123412</v>
      </c>
      <c r="J6" s="98">
        <f t="shared" si="2"/>
        <v>5437331.0722323051</v>
      </c>
      <c r="K6" s="98">
        <f t="shared" si="2"/>
        <v>4774064.1451905631</v>
      </c>
      <c r="L6" s="98">
        <f t="shared" si="2"/>
        <v>6698267.098366606</v>
      </c>
      <c r="M6" s="98">
        <f t="shared" si="2"/>
        <v>4679311.7270417418</v>
      </c>
      <c r="N6" s="98">
        <f t="shared" si="2"/>
        <v>6290102.8355716886</v>
      </c>
      <c r="O6" s="98">
        <f t="shared" si="2"/>
        <v>6224505.0076225046</v>
      </c>
      <c r="P6" s="98">
        <f t="shared" si="2"/>
        <v>10996769.286898443</v>
      </c>
      <c r="Q6" s="98">
        <f t="shared" si="2"/>
        <v>14739033.140853256</v>
      </c>
      <c r="R6" s="98">
        <f t="shared" si="2"/>
        <v>6005845.5811252268</v>
      </c>
      <c r="S6" s="98">
        <f t="shared" si="2"/>
        <v>6392143.9012704175</v>
      </c>
      <c r="T6" s="98">
        <f t="shared" si="2"/>
        <v>5794474.8021778585</v>
      </c>
      <c r="U6" s="98">
        <f t="shared" si="2"/>
        <v>6946081.1150635211</v>
      </c>
      <c r="V6" s="98">
        <f t="shared" si="2"/>
        <v>5954825.0482758619</v>
      </c>
      <c r="W6" s="98">
        <f t="shared" si="2"/>
        <v>5182228.4079854805</v>
      </c>
      <c r="X6" s="98">
        <f t="shared" si="2"/>
        <v>7529172.9190562619</v>
      </c>
      <c r="Y6" s="98">
        <f t="shared" si="2"/>
        <v>4963568.9814882036</v>
      </c>
      <c r="Z6" s="98">
        <f t="shared" si="2"/>
        <v>7325090.7876588022</v>
      </c>
      <c r="AA6" s="98">
        <f t="shared" si="2"/>
        <v>8090398.780399275</v>
      </c>
      <c r="AB6" s="98">
        <f t="shared" si="2"/>
        <v>17873312.301992711</v>
      </c>
      <c r="AC6" s="98">
        <f t="shared" si="2"/>
        <v>18931755.121895436</v>
      </c>
      <c r="AD6" s="98">
        <f t="shared" si="2"/>
        <v>7266781.6072595278</v>
      </c>
      <c r="AE6" s="98">
        <f t="shared" si="2"/>
        <v>8032089.6000000006</v>
      </c>
      <c r="AF6" s="98">
        <f t="shared" si="2"/>
        <v>6698267.098366606</v>
      </c>
      <c r="AG6" s="98">
        <f t="shared" si="2"/>
        <v>8316346.8544464614</v>
      </c>
      <c r="AH6" s="98">
        <f t="shared" si="2"/>
        <v>7048122.1807622509</v>
      </c>
      <c r="AI6" s="98">
        <f t="shared" si="2"/>
        <v>6290102.8355716886</v>
      </c>
      <c r="AJ6" s="98">
        <f t="shared" si="2"/>
        <v>9416932.6344827581</v>
      </c>
      <c r="AK6" s="98">
        <f t="shared" si="2"/>
        <v>5830918.0399274044</v>
      </c>
      <c r="AL6" s="98">
        <f t="shared" si="2"/>
        <v>10291570.340471869</v>
      </c>
    </row>
    <row r="7" spans="1:38" ht="20.399999999999999">
      <c r="A7" s="109" t="s">
        <v>146</v>
      </c>
      <c r="B7" s="98">
        <v>2</v>
      </c>
      <c r="C7" s="98"/>
      <c r="D7" s="98"/>
      <c r="E7" s="98"/>
      <c r="F7" s="98">
        <v>28</v>
      </c>
      <c r="G7" s="98">
        <v>32</v>
      </c>
      <c r="H7" s="98">
        <v>25</v>
      </c>
      <c r="I7" s="98">
        <v>39</v>
      </c>
      <c r="J7" s="98">
        <v>26</v>
      </c>
      <c r="K7" s="98">
        <v>28</v>
      </c>
      <c r="L7" s="98">
        <v>28</v>
      </c>
      <c r="M7" s="98">
        <v>28</v>
      </c>
      <c r="N7" s="98">
        <v>28</v>
      </c>
      <c r="O7" s="98"/>
      <c r="P7" s="98"/>
      <c r="Q7" s="98"/>
      <c r="R7" s="98">
        <v>36</v>
      </c>
      <c r="S7" s="98">
        <v>42</v>
      </c>
      <c r="T7" s="98">
        <v>31</v>
      </c>
      <c r="U7" s="98">
        <v>50</v>
      </c>
      <c r="V7" s="98">
        <v>32</v>
      </c>
      <c r="W7" s="98">
        <v>35</v>
      </c>
      <c r="X7" s="98">
        <v>36</v>
      </c>
      <c r="Y7" s="98">
        <v>35</v>
      </c>
      <c r="Z7" s="98">
        <v>36</v>
      </c>
      <c r="AA7" s="98"/>
      <c r="AB7" s="98"/>
      <c r="AC7" s="98"/>
      <c r="AD7" s="98">
        <v>48</v>
      </c>
      <c r="AE7" s="98">
        <v>62</v>
      </c>
      <c r="AF7" s="98">
        <v>42</v>
      </c>
      <c r="AG7" s="98">
        <v>67</v>
      </c>
      <c r="AH7" s="98">
        <v>42</v>
      </c>
      <c r="AI7" s="98">
        <v>46</v>
      </c>
      <c r="AJ7" s="98">
        <v>49</v>
      </c>
      <c r="AK7" s="98">
        <v>47</v>
      </c>
      <c r="AL7" s="98">
        <v>48</v>
      </c>
    </row>
    <row r="8" spans="1:38">
      <c r="A8" s="109" t="s">
        <v>147</v>
      </c>
      <c r="B8" s="98">
        <v>76</v>
      </c>
      <c r="C8" s="98">
        <v>317</v>
      </c>
      <c r="D8" s="98">
        <v>592</v>
      </c>
      <c r="E8" s="98">
        <v>840</v>
      </c>
      <c r="F8" s="98">
        <v>366</v>
      </c>
      <c r="G8" s="98">
        <v>372</v>
      </c>
      <c r="H8" s="98">
        <v>374</v>
      </c>
      <c r="I8" s="98">
        <v>446</v>
      </c>
      <c r="J8" s="98">
        <v>361</v>
      </c>
      <c r="K8" s="98">
        <v>306</v>
      </c>
      <c r="L8" s="98">
        <v>470</v>
      </c>
      <c r="M8" s="98">
        <v>257</v>
      </c>
      <c r="N8" s="98">
        <v>459</v>
      </c>
      <c r="O8" s="98">
        <v>372</v>
      </c>
      <c r="P8" s="98">
        <v>813</v>
      </c>
      <c r="Q8" s="98">
        <v>979</v>
      </c>
      <c r="R8" s="98">
        <v>432</v>
      </c>
      <c r="S8" s="98">
        <v>471</v>
      </c>
      <c r="T8" s="98">
        <v>419</v>
      </c>
      <c r="U8" s="98">
        <v>535</v>
      </c>
      <c r="V8" s="98">
        <v>425</v>
      </c>
      <c r="W8" s="98">
        <v>359</v>
      </c>
      <c r="X8" s="98">
        <v>540</v>
      </c>
      <c r="Y8" s="98">
        <v>291</v>
      </c>
      <c r="Z8" s="98">
        <v>550</v>
      </c>
      <c r="AA8" s="98">
        <v>539</v>
      </c>
      <c r="AB8" s="98">
        <v>1235</v>
      </c>
      <c r="AC8" s="98">
        <v>1232</v>
      </c>
      <c r="AD8" s="98">
        <v>579</v>
      </c>
      <c r="AE8" s="98">
        <v>655</v>
      </c>
      <c r="AF8" s="98">
        <v>520</v>
      </c>
      <c r="AG8" s="98">
        <v>688</v>
      </c>
      <c r="AH8" s="98">
        <v>552</v>
      </c>
      <c r="AI8" s="98">
        <v>488</v>
      </c>
      <c r="AJ8" s="98">
        <v>715</v>
      </c>
      <c r="AK8" s="98">
        <v>381</v>
      </c>
      <c r="AL8" s="98">
        <v>806</v>
      </c>
    </row>
    <row r="9" spans="1:38">
      <c r="A9" s="109" t="s">
        <v>148</v>
      </c>
      <c r="B9" s="98">
        <v>97</v>
      </c>
      <c r="C9" s="98">
        <v>91</v>
      </c>
      <c r="D9" s="98">
        <v>91</v>
      </c>
      <c r="E9" s="98">
        <v>91</v>
      </c>
      <c r="F9" s="98">
        <v>82</v>
      </c>
      <c r="G9" s="98">
        <v>86</v>
      </c>
      <c r="H9" s="98">
        <v>79</v>
      </c>
      <c r="I9" s="98">
        <v>79</v>
      </c>
      <c r="J9" s="98">
        <v>84</v>
      </c>
      <c r="K9" s="98">
        <v>56</v>
      </c>
      <c r="L9" s="98">
        <v>93</v>
      </c>
      <c r="M9" s="98">
        <v>86</v>
      </c>
      <c r="N9" s="98">
        <v>70</v>
      </c>
      <c r="O9" s="98">
        <v>91</v>
      </c>
      <c r="P9" s="98">
        <v>91</v>
      </c>
      <c r="Q9" s="98">
        <v>91</v>
      </c>
      <c r="R9" s="98">
        <v>81</v>
      </c>
      <c r="S9" s="98">
        <v>86</v>
      </c>
      <c r="T9" s="98">
        <v>79</v>
      </c>
      <c r="U9" s="98">
        <v>79</v>
      </c>
      <c r="V9" s="98">
        <v>84</v>
      </c>
      <c r="W9" s="98">
        <v>54</v>
      </c>
      <c r="X9" s="98">
        <v>93</v>
      </c>
      <c r="Y9" s="98">
        <v>86</v>
      </c>
      <c r="Z9" s="98">
        <v>65</v>
      </c>
      <c r="AA9" s="98">
        <v>89</v>
      </c>
      <c r="AB9" s="98">
        <v>89</v>
      </c>
      <c r="AC9" s="98">
        <v>89</v>
      </c>
      <c r="AD9" s="98">
        <v>81</v>
      </c>
      <c r="AE9" s="98">
        <v>86</v>
      </c>
      <c r="AF9" s="98">
        <v>80</v>
      </c>
      <c r="AG9" s="98">
        <v>78</v>
      </c>
      <c r="AH9" s="98">
        <v>82</v>
      </c>
      <c r="AI9" s="98">
        <v>51</v>
      </c>
      <c r="AJ9" s="98">
        <v>94</v>
      </c>
      <c r="AK9" s="98">
        <v>87</v>
      </c>
      <c r="AL9" s="98">
        <v>41</v>
      </c>
    </row>
    <row r="10" spans="1:38">
      <c r="A10" s="109" t="s">
        <v>149</v>
      </c>
      <c r="B10" s="98">
        <v>125</v>
      </c>
      <c r="C10" s="98">
        <v>233</v>
      </c>
      <c r="D10" s="98">
        <v>291</v>
      </c>
      <c r="E10" s="98">
        <v>541</v>
      </c>
      <c r="F10" s="98">
        <v>204</v>
      </c>
      <c r="G10" s="98">
        <v>206</v>
      </c>
      <c r="H10" s="98">
        <v>198</v>
      </c>
      <c r="I10" s="98">
        <v>217</v>
      </c>
      <c r="J10" s="98">
        <v>203</v>
      </c>
      <c r="K10" s="98">
        <v>196</v>
      </c>
      <c r="L10" s="98">
        <v>243</v>
      </c>
      <c r="M10" s="98">
        <v>206</v>
      </c>
      <c r="N10" s="98">
        <v>229</v>
      </c>
      <c r="O10" s="98">
        <v>259</v>
      </c>
      <c r="P10" s="98">
        <v>394</v>
      </c>
      <c r="Q10" s="98">
        <v>668</v>
      </c>
      <c r="R10" s="98">
        <v>211</v>
      </c>
      <c r="S10" s="98">
        <v>217</v>
      </c>
      <c r="T10" s="98">
        <v>199</v>
      </c>
      <c r="U10" s="98">
        <v>232</v>
      </c>
      <c r="V10" s="98">
        <v>206</v>
      </c>
      <c r="W10" s="98">
        <v>200</v>
      </c>
      <c r="X10" s="98">
        <v>260</v>
      </c>
      <c r="Y10" s="98">
        <v>211</v>
      </c>
      <c r="Z10" s="98">
        <v>264</v>
      </c>
      <c r="AA10" s="98">
        <v>304</v>
      </c>
      <c r="AB10" s="98">
        <v>763</v>
      </c>
      <c r="AC10" s="98">
        <v>899</v>
      </c>
      <c r="AD10" s="98">
        <v>229</v>
      </c>
      <c r="AE10" s="98">
        <v>240</v>
      </c>
      <c r="AF10" s="98">
        <v>217</v>
      </c>
      <c r="AG10" s="98">
        <v>245</v>
      </c>
      <c r="AH10" s="98">
        <v>224</v>
      </c>
      <c r="AI10" s="98">
        <v>221</v>
      </c>
      <c r="AJ10" s="98">
        <v>299</v>
      </c>
      <c r="AK10" s="98">
        <v>239</v>
      </c>
      <c r="AL10" s="98">
        <v>352</v>
      </c>
    </row>
    <row r="11" spans="1:38">
      <c r="A11" s="109" t="s">
        <v>150</v>
      </c>
      <c r="B11" s="98">
        <v>80</v>
      </c>
      <c r="C11" s="98">
        <v>80</v>
      </c>
      <c r="D11" s="98">
        <f>79741.669/1000</f>
        <v>79.741668999999987</v>
      </c>
      <c r="E11" s="98">
        <f>79933.355/1000</f>
        <v>79.933354999999992</v>
      </c>
      <c r="F11" s="98">
        <v>80</v>
      </c>
      <c r="G11" s="98">
        <v>80</v>
      </c>
      <c r="H11" s="98">
        <v>80</v>
      </c>
      <c r="I11" s="98">
        <v>80</v>
      </c>
      <c r="J11" s="98">
        <v>80</v>
      </c>
      <c r="K11" s="98">
        <v>80</v>
      </c>
      <c r="L11" s="98">
        <v>80</v>
      </c>
      <c r="M11" s="98">
        <v>80</v>
      </c>
      <c r="N11" s="98">
        <v>80</v>
      </c>
      <c r="O11" s="98">
        <v>80</v>
      </c>
      <c r="P11" s="98">
        <f>79753.059/1000</f>
        <v>79.753058999999993</v>
      </c>
      <c r="Q11" s="98">
        <f>80190.405/1000</f>
        <v>80.190404999999998</v>
      </c>
      <c r="R11" s="98">
        <v>80</v>
      </c>
      <c r="S11" s="98">
        <v>80</v>
      </c>
      <c r="T11" s="98">
        <v>80</v>
      </c>
      <c r="U11" s="98">
        <v>80</v>
      </c>
      <c r="V11" s="98">
        <v>80</v>
      </c>
      <c r="W11" s="98">
        <v>80</v>
      </c>
      <c r="X11" s="98">
        <v>80</v>
      </c>
      <c r="Y11" s="98">
        <v>80</v>
      </c>
      <c r="Z11" s="98">
        <v>80</v>
      </c>
      <c r="AA11" s="98">
        <v>80</v>
      </c>
      <c r="AB11" s="98">
        <f>80212.455/1000</f>
        <v>80.212455000000006</v>
      </c>
      <c r="AC11" s="98">
        <f>80430.455/1000</f>
        <v>80.430454999999995</v>
      </c>
      <c r="AD11" s="98">
        <v>80</v>
      </c>
      <c r="AE11" s="98">
        <v>80</v>
      </c>
      <c r="AF11" s="98">
        <v>80</v>
      </c>
      <c r="AG11" s="98">
        <v>80</v>
      </c>
      <c r="AH11" s="98">
        <v>80</v>
      </c>
      <c r="AI11" s="98">
        <v>80</v>
      </c>
      <c r="AJ11" s="98">
        <v>80</v>
      </c>
      <c r="AK11" s="98">
        <v>80</v>
      </c>
      <c r="AL11" s="98">
        <v>80</v>
      </c>
    </row>
    <row r="12" spans="1:38" ht="20.399999999999999">
      <c r="A12" s="109" t="s">
        <v>151</v>
      </c>
      <c r="B12" s="98">
        <v>2</v>
      </c>
      <c r="C12" s="98">
        <v>44</v>
      </c>
      <c r="D12" s="98">
        <v>72</v>
      </c>
      <c r="E12" s="98">
        <v>115</v>
      </c>
      <c r="F12" s="98">
        <v>19</v>
      </c>
      <c r="G12" s="98">
        <v>19</v>
      </c>
      <c r="H12" s="98">
        <v>17</v>
      </c>
      <c r="I12" s="98">
        <v>22</v>
      </c>
      <c r="J12" s="98">
        <v>18</v>
      </c>
      <c r="K12" s="98">
        <v>17</v>
      </c>
      <c r="L12" s="98">
        <v>33</v>
      </c>
      <c r="M12" s="98">
        <v>13</v>
      </c>
      <c r="N12" s="98">
        <v>25</v>
      </c>
      <c r="O12" s="98">
        <v>52</v>
      </c>
      <c r="P12" s="98">
        <v>131</v>
      </c>
      <c r="Q12" s="98">
        <v>204</v>
      </c>
      <c r="R12" s="98">
        <v>20</v>
      </c>
      <c r="S12" s="98">
        <v>23</v>
      </c>
      <c r="T12" s="98">
        <v>18</v>
      </c>
      <c r="U12" s="98">
        <v>27</v>
      </c>
      <c r="V12" s="98">
        <v>22</v>
      </c>
      <c r="W12" s="98">
        <v>18</v>
      </c>
      <c r="X12" s="98">
        <v>60</v>
      </c>
      <c r="Y12" s="98">
        <v>13</v>
      </c>
      <c r="Z12" s="98">
        <v>46</v>
      </c>
      <c r="AA12" s="98">
        <v>98</v>
      </c>
      <c r="AB12" s="98">
        <v>285</v>
      </c>
      <c r="AC12" s="98">
        <v>297</v>
      </c>
      <c r="AD12" s="98">
        <v>28</v>
      </c>
      <c r="AE12" s="98">
        <v>41</v>
      </c>
      <c r="AF12" s="98">
        <v>22</v>
      </c>
      <c r="AG12" s="98">
        <v>50</v>
      </c>
      <c r="AH12" s="98">
        <v>29</v>
      </c>
      <c r="AI12" s="98">
        <v>23</v>
      </c>
      <c r="AJ12" s="98">
        <v>104</v>
      </c>
      <c r="AK12" s="98">
        <v>13</v>
      </c>
      <c r="AL12" s="98">
        <v>133</v>
      </c>
    </row>
    <row r="13" spans="1:38">
      <c r="A13" s="109" t="s">
        <v>152</v>
      </c>
      <c r="B13" s="98">
        <f>SUM(B8:B12)</f>
        <v>380</v>
      </c>
      <c r="C13" s="98">
        <f>SUM(C8:C12)</f>
        <v>765</v>
      </c>
      <c r="D13" s="98">
        <f t="shared" ref="D13:E13" si="3">SUM(D8:D12)</f>
        <v>1125.741669</v>
      </c>
      <c r="E13" s="98">
        <f t="shared" si="3"/>
        <v>1666.9333549999999</v>
      </c>
      <c r="F13" s="98">
        <f>SUM(F8:F12)</f>
        <v>751</v>
      </c>
      <c r="G13" s="98">
        <f t="shared" ref="G13:AL13" si="4">SUM(G8:G12)</f>
        <v>763</v>
      </c>
      <c r="H13" s="98">
        <f t="shared" si="4"/>
        <v>748</v>
      </c>
      <c r="I13" s="98">
        <f t="shared" si="4"/>
        <v>844</v>
      </c>
      <c r="J13" s="98">
        <f t="shared" si="4"/>
        <v>746</v>
      </c>
      <c r="K13" s="98">
        <f t="shared" si="4"/>
        <v>655</v>
      </c>
      <c r="L13" s="98">
        <f t="shared" si="4"/>
        <v>919</v>
      </c>
      <c r="M13" s="98">
        <f t="shared" si="4"/>
        <v>642</v>
      </c>
      <c r="N13" s="98">
        <f t="shared" si="4"/>
        <v>863</v>
      </c>
      <c r="O13" s="98">
        <f t="shared" si="4"/>
        <v>854</v>
      </c>
      <c r="P13" s="98">
        <f t="shared" si="4"/>
        <v>1508.7530589999999</v>
      </c>
      <c r="Q13" s="98">
        <f t="shared" si="4"/>
        <v>2022.1904050000001</v>
      </c>
      <c r="R13" s="98">
        <f t="shared" si="4"/>
        <v>824</v>
      </c>
      <c r="S13" s="98">
        <f t="shared" si="4"/>
        <v>877</v>
      </c>
      <c r="T13" s="98">
        <f t="shared" si="4"/>
        <v>795</v>
      </c>
      <c r="U13" s="98">
        <f t="shared" si="4"/>
        <v>953</v>
      </c>
      <c r="V13" s="98">
        <f t="shared" si="4"/>
        <v>817</v>
      </c>
      <c r="W13" s="98">
        <f t="shared" si="4"/>
        <v>711</v>
      </c>
      <c r="X13" s="98">
        <f t="shared" si="4"/>
        <v>1033</v>
      </c>
      <c r="Y13" s="98">
        <f t="shared" si="4"/>
        <v>681</v>
      </c>
      <c r="Z13" s="98">
        <f t="shared" si="4"/>
        <v>1005</v>
      </c>
      <c r="AA13" s="98">
        <f t="shared" si="4"/>
        <v>1110</v>
      </c>
      <c r="AB13" s="98">
        <f t="shared" si="4"/>
        <v>2452.2124549999999</v>
      </c>
      <c r="AC13" s="98">
        <f t="shared" si="4"/>
        <v>2597.4304550000002</v>
      </c>
      <c r="AD13" s="98">
        <f t="shared" si="4"/>
        <v>997</v>
      </c>
      <c r="AE13" s="98">
        <f t="shared" si="4"/>
        <v>1102</v>
      </c>
      <c r="AF13" s="98">
        <f t="shared" si="4"/>
        <v>919</v>
      </c>
      <c r="AG13" s="98">
        <f t="shared" si="4"/>
        <v>1141</v>
      </c>
      <c r="AH13" s="98">
        <f t="shared" si="4"/>
        <v>967</v>
      </c>
      <c r="AI13" s="98">
        <f t="shared" si="4"/>
        <v>863</v>
      </c>
      <c r="AJ13" s="98">
        <f t="shared" si="4"/>
        <v>1292</v>
      </c>
      <c r="AK13" s="98">
        <f t="shared" si="4"/>
        <v>800</v>
      </c>
      <c r="AL13" s="98">
        <f t="shared" si="4"/>
        <v>1412</v>
      </c>
    </row>
    <row r="14" spans="1:38">
      <c r="H14" s="97"/>
    </row>
    <row r="15" spans="1:38" ht="31.8">
      <c r="A15" s="109" t="s">
        <v>198</v>
      </c>
      <c r="B15" s="112">
        <v>0.1</v>
      </c>
      <c r="C15" s="99"/>
      <c r="D15" s="99"/>
      <c r="E15" s="99"/>
    </row>
    <row r="16" spans="1:38" ht="31.8">
      <c r="A16" s="109" t="s">
        <v>199</v>
      </c>
      <c r="B16" s="112">
        <v>0.9</v>
      </c>
      <c r="C16" s="99"/>
      <c r="D16" s="99"/>
      <c r="E16" s="99"/>
    </row>
    <row r="17" spans="1:38">
      <c r="D17" s="92" t="s">
        <v>205</v>
      </c>
    </row>
    <row r="18" spans="1:38" ht="81.599999999999994">
      <c r="A18" s="109" t="s">
        <v>200</v>
      </c>
      <c r="B18" s="91">
        <v>9816998.4000000004</v>
      </c>
      <c r="C18" s="91" t="s">
        <v>153</v>
      </c>
      <c r="D18" s="114" t="s">
        <v>154</v>
      </c>
    </row>
    <row r="19" spans="1:38" ht="61.2">
      <c r="A19" s="109" t="s">
        <v>201</v>
      </c>
      <c r="B19" s="113">
        <v>1212.2</v>
      </c>
      <c r="C19" s="91" t="s">
        <v>155</v>
      </c>
      <c r="D19" s="114" t="s">
        <v>156</v>
      </c>
    </row>
    <row r="21" spans="1:38" ht="40.799999999999997">
      <c r="A21" s="109" t="s">
        <v>202</v>
      </c>
      <c r="B21" s="91">
        <f>B18/B19</f>
        <v>8098.4972776769509</v>
      </c>
      <c r="C21" s="91" t="s">
        <v>157</v>
      </c>
    </row>
    <row r="24" spans="1:38" ht="30.6">
      <c r="A24" s="108"/>
      <c r="B24" s="108" t="s">
        <v>158</v>
      </c>
      <c r="C24" s="108" t="s">
        <v>159</v>
      </c>
      <c r="D24" s="108" t="s">
        <v>160</v>
      </c>
      <c r="E24" s="108" t="s">
        <v>161</v>
      </c>
      <c r="F24" s="108" t="s">
        <v>162</v>
      </c>
      <c r="G24" s="108" t="s">
        <v>163</v>
      </c>
      <c r="H24" s="109" t="s">
        <v>164</v>
      </c>
    </row>
    <row r="25" spans="1:38" ht="30.6">
      <c r="A25" s="109" t="s">
        <v>165</v>
      </c>
      <c r="B25" s="108">
        <v>4100</v>
      </c>
      <c r="C25" s="108">
        <v>3800</v>
      </c>
      <c r="D25" s="108">
        <v>1100</v>
      </c>
      <c r="E25" s="108">
        <v>1500</v>
      </c>
      <c r="F25" s="108">
        <v>200</v>
      </c>
      <c r="G25" s="108">
        <v>61000</v>
      </c>
      <c r="H25" s="108">
        <v>1</v>
      </c>
    </row>
    <row r="27" spans="1:38">
      <c r="A27" s="91"/>
      <c r="B27" s="100"/>
      <c r="C27" s="181">
        <v>2035</v>
      </c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2"/>
      <c r="O27" s="183">
        <v>2040</v>
      </c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5"/>
      <c r="AA27" s="186">
        <v>2050</v>
      </c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8"/>
    </row>
    <row r="28" spans="1:38">
      <c r="A28" s="222" t="s">
        <v>247</v>
      </c>
      <c r="B28" s="94">
        <v>2020</v>
      </c>
      <c r="C28" s="95" t="s">
        <v>260</v>
      </c>
      <c r="D28" s="95" t="s">
        <v>261</v>
      </c>
      <c r="E28" s="95" t="s">
        <v>262</v>
      </c>
      <c r="F28" s="96" t="s">
        <v>263</v>
      </c>
      <c r="G28" s="96" t="s">
        <v>264</v>
      </c>
      <c r="H28" s="96" t="s">
        <v>265</v>
      </c>
      <c r="I28" s="96" t="s">
        <v>266</v>
      </c>
      <c r="J28" s="96" t="s">
        <v>267</v>
      </c>
      <c r="K28" s="96" t="s">
        <v>268</v>
      </c>
      <c r="L28" s="96" t="s">
        <v>269</v>
      </c>
      <c r="M28" s="96" t="s">
        <v>270</v>
      </c>
      <c r="N28" s="96" t="s">
        <v>271</v>
      </c>
      <c r="O28" s="95" t="s">
        <v>260</v>
      </c>
      <c r="P28" s="95" t="s">
        <v>261</v>
      </c>
      <c r="Q28" s="95" t="s">
        <v>262</v>
      </c>
      <c r="R28" s="96" t="s">
        <v>263</v>
      </c>
      <c r="S28" s="96" t="s">
        <v>264</v>
      </c>
      <c r="T28" s="96" t="s">
        <v>265</v>
      </c>
      <c r="U28" s="96" t="s">
        <v>266</v>
      </c>
      <c r="V28" s="96" t="s">
        <v>267</v>
      </c>
      <c r="W28" s="96" t="s">
        <v>268</v>
      </c>
      <c r="X28" s="96" t="s">
        <v>269</v>
      </c>
      <c r="Y28" s="96" t="s">
        <v>270</v>
      </c>
      <c r="Z28" s="96" t="s">
        <v>271</v>
      </c>
      <c r="AA28" s="95" t="s">
        <v>260</v>
      </c>
      <c r="AB28" s="95" t="s">
        <v>261</v>
      </c>
      <c r="AC28" s="95" t="s">
        <v>262</v>
      </c>
      <c r="AD28" s="96" t="s">
        <v>263</v>
      </c>
      <c r="AE28" s="96" t="s">
        <v>264</v>
      </c>
      <c r="AF28" s="96" t="s">
        <v>265</v>
      </c>
      <c r="AG28" s="96" t="s">
        <v>266</v>
      </c>
      <c r="AH28" s="96" t="s">
        <v>267</v>
      </c>
      <c r="AI28" s="96" t="s">
        <v>268</v>
      </c>
      <c r="AJ28" s="96" t="s">
        <v>269</v>
      </c>
      <c r="AK28" s="96" t="s">
        <v>270</v>
      </c>
      <c r="AL28" s="96" t="s">
        <v>271</v>
      </c>
    </row>
    <row r="29" spans="1:38" ht="20.399999999999999">
      <c r="A29" s="227" t="s">
        <v>166</v>
      </c>
      <c r="B29" s="101">
        <f t="shared" ref="B29:AL29" si="5">B5*$H$25/1000000</f>
        <v>0.30774289655172415</v>
      </c>
      <c r="C29" s="101">
        <f t="shared" si="5"/>
        <v>0.6195350417422868</v>
      </c>
      <c r="D29" s="101">
        <f t="shared" si="5"/>
        <v>0.91168158417640066</v>
      </c>
      <c r="E29" s="101">
        <f t="shared" si="5"/>
        <v>1.3499655237536408</v>
      </c>
      <c r="F29" s="101">
        <f t="shared" si="5"/>
        <v>0.60819714555353899</v>
      </c>
      <c r="G29" s="101">
        <f t="shared" si="5"/>
        <v>0.61791534228675138</v>
      </c>
      <c r="H29" s="101">
        <f t="shared" si="5"/>
        <v>0.60576759637023592</v>
      </c>
      <c r="I29" s="101">
        <f t="shared" si="5"/>
        <v>0.68351317023593472</v>
      </c>
      <c r="J29" s="101">
        <f t="shared" si="5"/>
        <v>0.6041478969147005</v>
      </c>
      <c r="K29" s="101">
        <f t="shared" si="5"/>
        <v>0.5304515716878403</v>
      </c>
      <c r="L29" s="101">
        <f t="shared" si="5"/>
        <v>0.74425189981851181</v>
      </c>
      <c r="M29" s="101">
        <f t="shared" si="5"/>
        <v>0.51992352522686025</v>
      </c>
      <c r="N29" s="101">
        <f t="shared" si="5"/>
        <v>0.6989003150635209</v>
      </c>
      <c r="O29" s="101">
        <f t="shared" si="5"/>
        <v>0.69161166751361169</v>
      </c>
      <c r="P29" s="101">
        <f t="shared" si="5"/>
        <v>1.2218632540998271</v>
      </c>
      <c r="Q29" s="101">
        <f t="shared" si="5"/>
        <v>1.6376703489836952</v>
      </c>
      <c r="R29" s="101">
        <f t="shared" si="5"/>
        <v>0.66731617568058077</v>
      </c>
      <c r="S29" s="101">
        <f t="shared" si="5"/>
        <v>0.7102382112522686</v>
      </c>
      <c r="T29" s="101">
        <f t="shared" si="5"/>
        <v>0.64383053357531772</v>
      </c>
      <c r="U29" s="101">
        <f t="shared" si="5"/>
        <v>0.77178679056261346</v>
      </c>
      <c r="V29" s="101">
        <f t="shared" si="5"/>
        <v>0.66164722758620698</v>
      </c>
      <c r="W29" s="101">
        <f t="shared" si="5"/>
        <v>0.5758031564428312</v>
      </c>
      <c r="X29" s="101">
        <f t="shared" si="5"/>
        <v>0.83657476878402903</v>
      </c>
      <c r="Y29" s="101">
        <f t="shared" si="5"/>
        <v>0.5515076646098005</v>
      </c>
      <c r="Z29" s="101">
        <f t="shared" si="5"/>
        <v>0.81389897640653364</v>
      </c>
      <c r="AA29" s="101">
        <f t="shared" si="5"/>
        <v>0.89893319782214165</v>
      </c>
      <c r="AB29" s="101">
        <f t="shared" si="5"/>
        <v>1.9859235891103011</v>
      </c>
      <c r="AC29" s="101">
        <f t="shared" si="5"/>
        <v>2.1035283468772707</v>
      </c>
      <c r="AD29" s="101">
        <f t="shared" si="5"/>
        <v>0.80742017858439208</v>
      </c>
      <c r="AE29" s="101">
        <f t="shared" si="5"/>
        <v>0.89245439999999998</v>
      </c>
      <c r="AF29" s="101">
        <f t="shared" si="5"/>
        <v>0.74425189981851181</v>
      </c>
      <c r="AG29" s="101">
        <f t="shared" si="5"/>
        <v>0.92403853938294012</v>
      </c>
      <c r="AH29" s="101">
        <f t="shared" si="5"/>
        <v>0.78312468675136127</v>
      </c>
      <c r="AI29" s="101">
        <f t="shared" si="5"/>
        <v>0.6989003150635209</v>
      </c>
      <c r="AJ29" s="101">
        <f t="shared" si="5"/>
        <v>1.0463258482758622</v>
      </c>
      <c r="AK29" s="101">
        <f t="shared" si="5"/>
        <v>0.6478797822141561</v>
      </c>
      <c r="AL29" s="101">
        <f t="shared" si="5"/>
        <v>1.1435078156079854</v>
      </c>
    </row>
    <row r="30" spans="1:38" ht="20.399999999999999">
      <c r="A30" s="227" t="s">
        <v>167</v>
      </c>
      <c r="B30" s="101">
        <f t="shared" ref="B30:AL30" si="6">B6*$H$25/1000000</f>
        <v>2.7696860689655174</v>
      </c>
      <c r="C30" s="101">
        <f t="shared" si="6"/>
        <v>5.5758153756805804</v>
      </c>
      <c r="D30" s="101">
        <f t="shared" si="6"/>
        <v>8.2051342575876056</v>
      </c>
      <c r="E30" s="101">
        <f t="shared" si="6"/>
        <v>12.149689713782765</v>
      </c>
      <c r="F30" s="101">
        <f t="shared" si="6"/>
        <v>5.4737743099818514</v>
      </c>
      <c r="G30" s="101">
        <f t="shared" si="6"/>
        <v>5.561238080580762</v>
      </c>
      <c r="H30" s="101">
        <f t="shared" si="6"/>
        <v>5.4519083673321234</v>
      </c>
      <c r="I30" s="101">
        <f t="shared" si="6"/>
        <v>6.151618532123412</v>
      </c>
      <c r="J30" s="101">
        <f t="shared" si="6"/>
        <v>5.4373310722323049</v>
      </c>
      <c r="K30" s="101">
        <f t="shared" si="6"/>
        <v>4.7740641451905628</v>
      </c>
      <c r="L30" s="101">
        <f t="shared" si="6"/>
        <v>6.6982670983666059</v>
      </c>
      <c r="M30" s="101">
        <f t="shared" si="6"/>
        <v>4.6793117270417417</v>
      </c>
      <c r="N30" s="101">
        <f t="shared" si="6"/>
        <v>6.2901028355716884</v>
      </c>
      <c r="O30" s="101">
        <f t="shared" si="6"/>
        <v>6.224505007622505</v>
      </c>
      <c r="P30" s="101">
        <f t="shared" si="6"/>
        <v>10.996769286898443</v>
      </c>
      <c r="Q30" s="101">
        <f t="shared" si="6"/>
        <v>14.739033140853255</v>
      </c>
      <c r="R30" s="101">
        <f t="shared" si="6"/>
        <v>6.0058455811252269</v>
      </c>
      <c r="S30" s="101">
        <f t="shared" si="6"/>
        <v>6.3921439012704173</v>
      </c>
      <c r="T30" s="101">
        <f t="shared" si="6"/>
        <v>5.7944748021778585</v>
      </c>
      <c r="U30" s="101">
        <f t="shared" si="6"/>
        <v>6.9460811150635209</v>
      </c>
      <c r="V30" s="101">
        <f t="shared" si="6"/>
        <v>5.954825048275862</v>
      </c>
      <c r="W30" s="101">
        <f t="shared" si="6"/>
        <v>5.1822284079854803</v>
      </c>
      <c r="X30" s="101">
        <f t="shared" si="6"/>
        <v>7.5291729190562622</v>
      </c>
      <c r="Y30" s="101">
        <f t="shared" si="6"/>
        <v>4.963568981488204</v>
      </c>
      <c r="Z30" s="101">
        <f t="shared" si="6"/>
        <v>7.3250907876588025</v>
      </c>
      <c r="AA30" s="101">
        <f t="shared" si="6"/>
        <v>8.0903987803992745</v>
      </c>
      <c r="AB30" s="101">
        <f t="shared" si="6"/>
        <v>17.873312301992712</v>
      </c>
      <c r="AC30" s="101">
        <f t="shared" si="6"/>
        <v>18.931755121895435</v>
      </c>
      <c r="AD30" s="101">
        <f t="shared" si="6"/>
        <v>7.2667816072595279</v>
      </c>
      <c r="AE30" s="101">
        <f t="shared" si="6"/>
        <v>8.0320896000000008</v>
      </c>
      <c r="AF30" s="101">
        <f t="shared" si="6"/>
        <v>6.6982670983666059</v>
      </c>
      <c r="AG30" s="101">
        <f t="shared" si="6"/>
        <v>8.3163468544464614</v>
      </c>
      <c r="AH30" s="101">
        <f t="shared" si="6"/>
        <v>7.0481221807622507</v>
      </c>
      <c r="AI30" s="101">
        <f t="shared" si="6"/>
        <v>6.2901028355716884</v>
      </c>
      <c r="AJ30" s="101">
        <f t="shared" si="6"/>
        <v>9.4169326344827589</v>
      </c>
      <c r="AK30" s="101">
        <f t="shared" si="6"/>
        <v>5.8309180399274041</v>
      </c>
      <c r="AL30" s="101">
        <f t="shared" si="6"/>
        <v>10.291570340471869</v>
      </c>
    </row>
    <row r="31" spans="1:38">
      <c r="A31" s="227" t="s">
        <v>168</v>
      </c>
      <c r="B31" s="101">
        <f t="shared" ref="B31:AL31" si="7">B7*$G$25/1000000</f>
        <v>0.122</v>
      </c>
      <c r="C31" s="101">
        <f t="shared" si="7"/>
        <v>0</v>
      </c>
      <c r="D31" s="101">
        <f t="shared" si="7"/>
        <v>0</v>
      </c>
      <c r="E31" s="101">
        <f t="shared" si="7"/>
        <v>0</v>
      </c>
      <c r="F31" s="101">
        <f t="shared" si="7"/>
        <v>1.708</v>
      </c>
      <c r="G31" s="101">
        <f t="shared" si="7"/>
        <v>1.952</v>
      </c>
      <c r="H31" s="101">
        <f t="shared" si="7"/>
        <v>1.5249999999999999</v>
      </c>
      <c r="I31" s="101">
        <f t="shared" si="7"/>
        <v>2.379</v>
      </c>
      <c r="J31" s="101">
        <f t="shared" si="7"/>
        <v>1.5860000000000001</v>
      </c>
      <c r="K31" s="101">
        <f t="shared" si="7"/>
        <v>1.708</v>
      </c>
      <c r="L31" s="101">
        <f t="shared" si="7"/>
        <v>1.708</v>
      </c>
      <c r="M31" s="101">
        <f t="shared" si="7"/>
        <v>1.708</v>
      </c>
      <c r="N31" s="101">
        <f t="shared" si="7"/>
        <v>1.708</v>
      </c>
      <c r="O31" s="101">
        <f t="shared" si="7"/>
        <v>0</v>
      </c>
      <c r="P31" s="101">
        <f t="shared" si="7"/>
        <v>0</v>
      </c>
      <c r="Q31" s="101">
        <f t="shared" si="7"/>
        <v>0</v>
      </c>
      <c r="R31" s="101">
        <f t="shared" si="7"/>
        <v>2.1960000000000002</v>
      </c>
      <c r="S31" s="101">
        <f t="shared" si="7"/>
        <v>2.5619999999999998</v>
      </c>
      <c r="T31" s="101">
        <f t="shared" si="7"/>
        <v>1.891</v>
      </c>
      <c r="U31" s="101">
        <f t="shared" si="7"/>
        <v>3.05</v>
      </c>
      <c r="V31" s="101">
        <f t="shared" si="7"/>
        <v>1.952</v>
      </c>
      <c r="W31" s="101">
        <f t="shared" si="7"/>
        <v>2.1349999999999998</v>
      </c>
      <c r="X31" s="101">
        <f t="shared" si="7"/>
        <v>2.1960000000000002</v>
      </c>
      <c r="Y31" s="101">
        <f t="shared" si="7"/>
        <v>2.1349999999999998</v>
      </c>
      <c r="Z31" s="101">
        <f t="shared" si="7"/>
        <v>2.1960000000000002</v>
      </c>
      <c r="AA31" s="101">
        <f t="shared" si="7"/>
        <v>0</v>
      </c>
      <c r="AB31" s="101">
        <f t="shared" si="7"/>
        <v>0</v>
      </c>
      <c r="AC31" s="101">
        <f t="shared" si="7"/>
        <v>0</v>
      </c>
      <c r="AD31" s="101">
        <f t="shared" si="7"/>
        <v>2.9279999999999999</v>
      </c>
      <c r="AE31" s="101">
        <f t="shared" si="7"/>
        <v>3.782</v>
      </c>
      <c r="AF31" s="101">
        <f t="shared" si="7"/>
        <v>2.5619999999999998</v>
      </c>
      <c r="AG31" s="101">
        <f t="shared" si="7"/>
        <v>4.0869999999999997</v>
      </c>
      <c r="AH31" s="101">
        <f t="shared" si="7"/>
        <v>2.5619999999999998</v>
      </c>
      <c r="AI31" s="101">
        <f t="shared" si="7"/>
        <v>2.806</v>
      </c>
      <c r="AJ31" s="101">
        <f t="shared" si="7"/>
        <v>2.9889999999999999</v>
      </c>
      <c r="AK31" s="101">
        <f t="shared" si="7"/>
        <v>2.867</v>
      </c>
      <c r="AL31" s="101">
        <f t="shared" si="7"/>
        <v>2.9279999999999999</v>
      </c>
    </row>
    <row r="32" spans="1:38">
      <c r="A32" s="227" t="s">
        <v>169</v>
      </c>
      <c r="B32" s="101">
        <f t="shared" ref="B32:AL32" si="8">B8*$C$25/1000000</f>
        <v>0.2888</v>
      </c>
      <c r="C32" s="101">
        <f t="shared" si="8"/>
        <v>1.2045999999999999</v>
      </c>
      <c r="D32" s="101">
        <f t="shared" si="8"/>
        <v>2.2496</v>
      </c>
      <c r="E32" s="101">
        <f t="shared" si="8"/>
        <v>3.1920000000000002</v>
      </c>
      <c r="F32" s="101">
        <f t="shared" si="8"/>
        <v>1.3908</v>
      </c>
      <c r="G32" s="101">
        <f t="shared" si="8"/>
        <v>1.4136</v>
      </c>
      <c r="H32" s="101">
        <f t="shared" si="8"/>
        <v>1.4212</v>
      </c>
      <c r="I32" s="101">
        <f t="shared" si="8"/>
        <v>1.6948000000000001</v>
      </c>
      <c r="J32" s="101">
        <f t="shared" si="8"/>
        <v>1.3717999999999999</v>
      </c>
      <c r="K32" s="101">
        <f t="shared" si="8"/>
        <v>1.1628000000000001</v>
      </c>
      <c r="L32" s="101">
        <f t="shared" si="8"/>
        <v>1.786</v>
      </c>
      <c r="M32" s="101">
        <f t="shared" si="8"/>
        <v>0.97660000000000002</v>
      </c>
      <c r="N32" s="101">
        <f t="shared" si="8"/>
        <v>1.7442</v>
      </c>
      <c r="O32" s="101">
        <f t="shared" si="8"/>
        <v>1.4136</v>
      </c>
      <c r="P32" s="101">
        <f t="shared" si="8"/>
        <v>3.0893999999999999</v>
      </c>
      <c r="Q32" s="101">
        <f t="shared" si="8"/>
        <v>3.7202000000000002</v>
      </c>
      <c r="R32" s="101">
        <f t="shared" si="8"/>
        <v>1.6415999999999999</v>
      </c>
      <c r="S32" s="101">
        <f t="shared" si="8"/>
        <v>1.7898000000000001</v>
      </c>
      <c r="T32" s="101">
        <f t="shared" si="8"/>
        <v>1.5922000000000001</v>
      </c>
      <c r="U32" s="101">
        <f t="shared" si="8"/>
        <v>2.0329999999999999</v>
      </c>
      <c r="V32" s="101">
        <f t="shared" si="8"/>
        <v>1.615</v>
      </c>
      <c r="W32" s="101">
        <f t="shared" si="8"/>
        <v>1.3642000000000001</v>
      </c>
      <c r="X32" s="101">
        <f t="shared" si="8"/>
        <v>2.052</v>
      </c>
      <c r="Y32" s="101">
        <f t="shared" si="8"/>
        <v>1.1057999999999999</v>
      </c>
      <c r="Z32" s="101">
        <f t="shared" si="8"/>
        <v>2.09</v>
      </c>
      <c r="AA32" s="101">
        <f t="shared" si="8"/>
        <v>2.0482</v>
      </c>
      <c r="AB32" s="101">
        <f t="shared" si="8"/>
        <v>4.6929999999999996</v>
      </c>
      <c r="AC32" s="101">
        <f t="shared" si="8"/>
        <v>4.6816000000000004</v>
      </c>
      <c r="AD32" s="101">
        <f t="shared" si="8"/>
        <v>2.2002000000000002</v>
      </c>
      <c r="AE32" s="101">
        <f t="shared" si="8"/>
        <v>2.4889999999999999</v>
      </c>
      <c r="AF32" s="101">
        <f t="shared" si="8"/>
        <v>1.976</v>
      </c>
      <c r="AG32" s="101">
        <f t="shared" si="8"/>
        <v>2.6143999999999998</v>
      </c>
      <c r="AH32" s="101">
        <f t="shared" si="8"/>
        <v>2.0975999999999999</v>
      </c>
      <c r="AI32" s="101">
        <f t="shared" si="8"/>
        <v>1.8544</v>
      </c>
      <c r="AJ32" s="101">
        <f t="shared" si="8"/>
        <v>2.7170000000000001</v>
      </c>
      <c r="AK32" s="101">
        <f t="shared" si="8"/>
        <v>1.4478</v>
      </c>
      <c r="AL32" s="101">
        <f t="shared" si="8"/>
        <v>3.0628000000000002</v>
      </c>
    </row>
    <row r="33" spans="1:38">
      <c r="A33" s="227" t="s">
        <v>170</v>
      </c>
      <c r="B33" s="101">
        <f t="shared" ref="B33:AL33" si="9">B10*$B$25/1000000</f>
        <v>0.51249999999999996</v>
      </c>
      <c r="C33" s="101">
        <f t="shared" si="9"/>
        <v>0.95530000000000004</v>
      </c>
      <c r="D33" s="101">
        <f t="shared" si="9"/>
        <v>1.1931</v>
      </c>
      <c r="E33" s="101">
        <f t="shared" si="9"/>
        <v>2.2181000000000002</v>
      </c>
      <c r="F33" s="101">
        <f t="shared" si="9"/>
        <v>0.83640000000000003</v>
      </c>
      <c r="G33" s="101">
        <f t="shared" si="9"/>
        <v>0.84460000000000002</v>
      </c>
      <c r="H33" s="101">
        <f t="shared" si="9"/>
        <v>0.81179999999999997</v>
      </c>
      <c r="I33" s="101">
        <f t="shared" si="9"/>
        <v>0.88970000000000005</v>
      </c>
      <c r="J33" s="101">
        <f t="shared" si="9"/>
        <v>0.83230000000000004</v>
      </c>
      <c r="K33" s="101">
        <f t="shared" si="9"/>
        <v>0.80359999999999998</v>
      </c>
      <c r="L33" s="101">
        <f t="shared" si="9"/>
        <v>0.99629999999999996</v>
      </c>
      <c r="M33" s="101">
        <f t="shared" si="9"/>
        <v>0.84460000000000002</v>
      </c>
      <c r="N33" s="101">
        <f t="shared" si="9"/>
        <v>0.93889999999999996</v>
      </c>
      <c r="O33" s="101">
        <f t="shared" si="9"/>
        <v>1.0619000000000001</v>
      </c>
      <c r="P33" s="101">
        <f t="shared" si="9"/>
        <v>1.6153999999999999</v>
      </c>
      <c r="Q33" s="101">
        <f t="shared" si="9"/>
        <v>2.7387999999999999</v>
      </c>
      <c r="R33" s="101">
        <f t="shared" si="9"/>
        <v>0.86509999999999998</v>
      </c>
      <c r="S33" s="101">
        <f t="shared" si="9"/>
        <v>0.88970000000000005</v>
      </c>
      <c r="T33" s="101">
        <f t="shared" si="9"/>
        <v>0.81589999999999996</v>
      </c>
      <c r="U33" s="101">
        <f t="shared" si="9"/>
        <v>0.95120000000000005</v>
      </c>
      <c r="V33" s="101">
        <f t="shared" si="9"/>
        <v>0.84460000000000002</v>
      </c>
      <c r="W33" s="101">
        <f t="shared" si="9"/>
        <v>0.82</v>
      </c>
      <c r="X33" s="101">
        <f t="shared" si="9"/>
        <v>1.0660000000000001</v>
      </c>
      <c r="Y33" s="101">
        <f t="shared" si="9"/>
        <v>0.86509999999999998</v>
      </c>
      <c r="Z33" s="101">
        <f t="shared" si="9"/>
        <v>1.0824</v>
      </c>
      <c r="AA33" s="101">
        <f t="shared" si="9"/>
        <v>1.2464</v>
      </c>
      <c r="AB33" s="101">
        <f t="shared" si="9"/>
        <v>3.1282999999999999</v>
      </c>
      <c r="AC33" s="101">
        <f t="shared" si="9"/>
        <v>3.6859000000000002</v>
      </c>
      <c r="AD33" s="101">
        <f t="shared" si="9"/>
        <v>0.93889999999999996</v>
      </c>
      <c r="AE33" s="101">
        <f t="shared" si="9"/>
        <v>0.98399999999999999</v>
      </c>
      <c r="AF33" s="101">
        <f t="shared" si="9"/>
        <v>0.88970000000000005</v>
      </c>
      <c r="AG33" s="101">
        <f t="shared" si="9"/>
        <v>1.0044999999999999</v>
      </c>
      <c r="AH33" s="101">
        <f t="shared" si="9"/>
        <v>0.91839999999999999</v>
      </c>
      <c r="AI33" s="101">
        <f t="shared" si="9"/>
        <v>0.90610000000000002</v>
      </c>
      <c r="AJ33" s="101">
        <f t="shared" si="9"/>
        <v>1.2259</v>
      </c>
      <c r="AK33" s="101">
        <f t="shared" si="9"/>
        <v>0.97989999999999999</v>
      </c>
      <c r="AL33" s="101">
        <f t="shared" si="9"/>
        <v>1.4432</v>
      </c>
    </row>
    <row r="34" spans="1:38">
      <c r="A34" s="227" t="s">
        <v>161</v>
      </c>
      <c r="B34" s="101">
        <f t="shared" ref="B34:AL34" si="10">B9*$E$25/1000000</f>
        <v>0.14549999999999999</v>
      </c>
      <c r="C34" s="101">
        <f t="shared" si="10"/>
        <v>0.13650000000000001</v>
      </c>
      <c r="D34" s="101">
        <f t="shared" si="10"/>
        <v>0.13650000000000001</v>
      </c>
      <c r="E34" s="101">
        <f t="shared" si="10"/>
        <v>0.13650000000000001</v>
      </c>
      <c r="F34" s="101">
        <f t="shared" si="10"/>
        <v>0.123</v>
      </c>
      <c r="G34" s="101">
        <f t="shared" si="10"/>
        <v>0.129</v>
      </c>
      <c r="H34" s="101">
        <f t="shared" si="10"/>
        <v>0.11849999999999999</v>
      </c>
      <c r="I34" s="101">
        <f t="shared" si="10"/>
        <v>0.11849999999999999</v>
      </c>
      <c r="J34" s="101">
        <f t="shared" si="10"/>
        <v>0.126</v>
      </c>
      <c r="K34" s="101">
        <f t="shared" si="10"/>
        <v>8.4000000000000005E-2</v>
      </c>
      <c r="L34" s="101">
        <f t="shared" si="10"/>
        <v>0.13950000000000001</v>
      </c>
      <c r="M34" s="101">
        <f t="shared" si="10"/>
        <v>0.129</v>
      </c>
      <c r="N34" s="101">
        <f t="shared" si="10"/>
        <v>0.105</v>
      </c>
      <c r="O34" s="101">
        <f t="shared" si="10"/>
        <v>0.13650000000000001</v>
      </c>
      <c r="P34" s="101">
        <f t="shared" si="10"/>
        <v>0.13650000000000001</v>
      </c>
      <c r="Q34" s="101">
        <f t="shared" si="10"/>
        <v>0.13650000000000001</v>
      </c>
      <c r="R34" s="101">
        <f t="shared" si="10"/>
        <v>0.1215</v>
      </c>
      <c r="S34" s="101">
        <f t="shared" si="10"/>
        <v>0.129</v>
      </c>
      <c r="T34" s="101">
        <f t="shared" si="10"/>
        <v>0.11849999999999999</v>
      </c>
      <c r="U34" s="101">
        <f t="shared" si="10"/>
        <v>0.11849999999999999</v>
      </c>
      <c r="V34" s="101">
        <f t="shared" si="10"/>
        <v>0.126</v>
      </c>
      <c r="W34" s="101">
        <f t="shared" si="10"/>
        <v>8.1000000000000003E-2</v>
      </c>
      <c r="X34" s="101">
        <f t="shared" si="10"/>
        <v>0.13950000000000001</v>
      </c>
      <c r="Y34" s="101">
        <f t="shared" si="10"/>
        <v>0.129</v>
      </c>
      <c r="Z34" s="101">
        <f t="shared" si="10"/>
        <v>9.7500000000000003E-2</v>
      </c>
      <c r="AA34" s="101">
        <f t="shared" si="10"/>
        <v>0.13350000000000001</v>
      </c>
      <c r="AB34" s="101">
        <f t="shared" si="10"/>
        <v>0.13350000000000001</v>
      </c>
      <c r="AC34" s="101">
        <f t="shared" si="10"/>
        <v>0.13350000000000001</v>
      </c>
      <c r="AD34" s="101">
        <f t="shared" si="10"/>
        <v>0.1215</v>
      </c>
      <c r="AE34" s="101">
        <f t="shared" si="10"/>
        <v>0.129</v>
      </c>
      <c r="AF34" s="101">
        <f t="shared" si="10"/>
        <v>0.12</v>
      </c>
      <c r="AG34" s="101">
        <f t="shared" si="10"/>
        <v>0.11700000000000001</v>
      </c>
      <c r="AH34" s="101">
        <f t="shared" si="10"/>
        <v>0.123</v>
      </c>
      <c r="AI34" s="101">
        <f t="shared" si="10"/>
        <v>7.6499999999999999E-2</v>
      </c>
      <c r="AJ34" s="101">
        <f t="shared" si="10"/>
        <v>0.14099999999999999</v>
      </c>
      <c r="AK34" s="101">
        <f t="shared" si="10"/>
        <v>0.1305</v>
      </c>
      <c r="AL34" s="101">
        <f t="shared" si="10"/>
        <v>6.1499999999999999E-2</v>
      </c>
    </row>
    <row r="35" spans="1:38">
      <c r="A35" s="227" t="s">
        <v>171</v>
      </c>
      <c r="B35" s="101">
        <f t="shared" ref="B35:AL35" si="11">B11*$D$25/1000000</f>
        <v>8.7999999999999995E-2</v>
      </c>
      <c r="C35" s="101">
        <f t="shared" si="11"/>
        <v>8.7999999999999995E-2</v>
      </c>
      <c r="D35" s="101">
        <f t="shared" si="11"/>
        <v>8.7715835899999997E-2</v>
      </c>
      <c r="E35" s="101">
        <f t="shared" si="11"/>
        <v>8.7926690500000002E-2</v>
      </c>
      <c r="F35" s="101">
        <f t="shared" si="11"/>
        <v>8.7999999999999995E-2</v>
      </c>
      <c r="G35" s="101">
        <f t="shared" si="11"/>
        <v>8.7999999999999995E-2</v>
      </c>
      <c r="H35" s="101">
        <f t="shared" si="11"/>
        <v>8.7999999999999995E-2</v>
      </c>
      <c r="I35" s="101">
        <f t="shared" si="11"/>
        <v>8.7999999999999995E-2</v>
      </c>
      <c r="J35" s="101">
        <f t="shared" si="11"/>
        <v>8.7999999999999995E-2</v>
      </c>
      <c r="K35" s="101">
        <f t="shared" si="11"/>
        <v>8.7999999999999995E-2</v>
      </c>
      <c r="L35" s="101">
        <f t="shared" si="11"/>
        <v>8.7999999999999995E-2</v>
      </c>
      <c r="M35" s="101">
        <f t="shared" si="11"/>
        <v>8.7999999999999995E-2</v>
      </c>
      <c r="N35" s="101">
        <f t="shared" si="11"/>
        <v>8.7999999999999995E-2</v>
      </c>
      <c r="O35" s="101">
        <f t="shared" si="11"/>
        <v>8.7999999999999995E-2</v>
      </c>
      <c r="P35" s="101">
        <f t="shared" si="11"/>
        <v>8.772836489999998E-2</v>
      </c>
      <c r="Q35" s="101">
        <f t="shared" si="11"/>
        <v>8.8209445499999997E-2</v>
      </c>
      <c r="R35" s="101">
        <f t="shared" si="11"/>
        <v>8.7999999999999995E-2</v>
      </c>
      <c r="S35" s="101">
        <f t="shared" si="11"/>
        <v>8.7999999999999995E-2</v>
      </c>
      <c r="T35" s="101">
        <f t="shared" si="11"/>
        <v>8.7999999999999995E-2</v>
      </c>
      <c r="U35" s="101">
        <f t="shared" si="11"/>
        <v>8.7999999999999995E-2</v>
      </c>
      <c r="V35" s="101">
        <f t="shared" si="11"/>
        <v>8.7999999999999995E-2</v>
      </c>
      <c r="W35" s="101">
        <f t="shared" si="11"/>
        <v>8.7999999999999995E-2</v>
      </c>
      <c r="X35" s="101">
        <f t="shared" si="11"/>
        <v>8.7999999999999995E-2</v>
      </c>
      <c r="Y35" s="101">
        <f t="shared" si="11"/>
        <v>8.7999999999999995E-2</v>
      </c>
      <c r="Z35" s="101">
        <f t="shared" si="11"/>
        <v>8.7999999999999995E-2</v>
      </c>
      <c r="AA35" s="101">
        <f t="shared" si="11"/>
        <v>8.7999999999999995E-2</v>
      </c>
      <c r="AB35" s="101">
        <f t="shared" si="11"/>
        <v>8.8233700500000012E-2</v>
      </c>
      <c r="AC35" s="101">
        <f t="shared" si="11"/>
        <v>8.8473500499999996E-2</v>
      </c>
      <c r="AD35" s="101">
        <f t="shared" si="11"/>
        <v>8.7999999999999995E-2</v>
      </c>
      <c r="AE35" s="101">
        <f t="shared" si="11"/>
        <v>8.7999999999999995E-2</v>
      </c>
      <c r="AF35" s="101">
        <f t="shared" si="11"/>
        <v>8.7999999999999995E-2</v>
      </c>
      <c r="AG35" s="101">
        <f t="shared" si="11"/>
        <v>8.7999999999999995E-2</v>
      </c>
      <c r="AH35" s="101">
        <f t="shared" si="11"/>
        <v>8.7999999999999995E-2</v>
      </c>
      <c r="AI35" s="101">
        <f t="shared" si="11"/>
        <v>8.7999999999999995E-2</v>
      </c>
      <c r="AJ35" s="101">
        <f t="shared" si="11"/>
        <v>8.7999999999999995E-2</v>
      </c>
      <c r="AK35" s="101">
        <f t="shared" si="11"/>
        <v>8.7999999999999995E-2</v>
      </c>
      <c r="AL35" s="101">
        <f t="shared" si="11"/>
        <v>8.7999999999999995E-2</v>
      </c>
    </row>
    <row r="36" spans="1:38">
      <c r="A36" s="227" t="s">
        <v>172</v>
      </c>
      <c r="B36" s="102">
        <f t="shared" ref="B36:AL36" si="12">B12*$F$25/1000000</f>
        <v>4.0000000000000002E-4</v>
      </c>
      <c r="C36" s="102">
        <f t="shared" si="12"/>
        <v>8.8000000000000005E-3</v>
      </c>
      <c r="D36" s="102">
        <f t="shared" si="12"/>
        <v>1.44E-2</v>
      </c>
      <c r="E36" s="102">
        <f t="shared" si="12"/>
        <v>2.3E-2</v>
      </c>
      <c r="F36" s="102">
        <f t="shared" si="12"/>
        <v>3.8E-3</v>
      </c>
      <c r="G36" s="102">
        <f t="shared" si="12"/>
        <v>3.8E-3</v>
      </c>
      <c r="H36" s="102">
        <f t="shared" si="12"/>
        <v>3.3999999999999998E-3</v>
      </c>
      <c r="I36" s="102">
        <f t="shared" si="12"/>
        <v>4.4000000000000003E-3</v>
      </c>
      <c r="J36" s="102">
        <f t="shared" si="12"/>
        <v>3.5999999999999999E-3</v>
      </c>
      <c r="K36" s="102">
        <f t="shared" si="12"/>
        <v>3.3999999999999998E-3</v>
      </c>
      <c r="L36" s="102">
        <f t="shared" si="12"/>
        <v>6.6E-3</v>
      </c>
      <c r="M36" s="102">
        <f t="shared" si="12"/>
        <v>2.5999999999999999E-3</v>
      </c>
      <c r="N36" s="102">
        <f t="shared" si="12"/>
        <v>5.0000000000000001E-3</v>
      </c>
      <c r="O36" s="102">
        <f t="shared" si="12"/>
        <v>1.04E-2</v>
      </c>
      <c r="P36" s="102">
        <f t="shared" si="12"/>
        <v>2.6200000000000001E-2</v>
      </c>
      <c r="Q36" s="102">
        <f t="shared" si="12"/>
        <v>4.0800000000000003E-2</v>
      </c>
      <c r="R36" s="102">
        <f t="shared" si="12"/>
        <v>4.0000000000000001E-3</v>
      </c>
      <c r="S36" s="102">
        <f t="shared" si="12"/>
        <v>4.5999999999999999E-3</v>
      </c>
      <c r="T36" s="102">
        <f t="shared" si="12"/>
        <v>3.5999999999999999E-3</v>
      </c>
      <c r="U36" s="102">
        <f t="shared" si="12"/>
        <v>5.4000000000000003E-3</v>
      </c>
      <c r="V36" s="102">
        <f t="shared" si="12"/>
        <v>4.4000000000000003E-3</v>
      </c>
      <c r="W36" s="102">
        <f t="shared" si="12"/>
        <v>3.5999999999999999E-3</v>
      </c>
      <c r="X36" s="102">
        <f t="shared" si="12"/>
        <v>1.2E-2</v>
      </c>
      <c r="Y36" s="102">
        <f t="shared" si="12"/>
        <v>2.5999999999999999E-3</v>
      </c>
      <c r="Z36" s="102">
        <f t="shared" si="12"/>
        <v>9.1999999999999998E-3</v>
      </c>
      <c r="AA36" s="102">
        <f t="shared" si="12"/>
        <v>1.9599999999999999E-2</v>
      </c>
      <c r="AB36" s="102">
        <f t="shared" si="12"/>
        <v>5.7000000000000002E-2</v>
      </c>
      <c r="AC36" s="102">
        <f t="shared" si="12"/>
        <v>5.9400000000000001E-2</v>
      </c>
      <c r="AD36" s="102">
        <f t="shared" si="12"/>
        <v>5.5999999999999999E-3</v>
      </c>
      <c r="AE36" s="102">
        <f t="shared" si="12"/>
        <v>8.2000000000000007E-3</v>
      </c>
      <c r="AF36" s="102">
        <f t="shared" si="12"/>
        <v>4.4000000000000003E-3</v>
      </c>
      <c r="AG36" s="102">
        <f t="shared" si="12"/>
        <v>0.01</v>
      </c>
      <c r="AH36" s="102">
        <f t="shared" si="12"/>
        <v>5.7999999999999996E-3</v>
      </c>
      <c r="AI36" s="102">
        <f t="shared" si="12"/>
        <v>4.5999999999999999E-3</v>
      </c>
      <c r="AJ36" s="102">
        <f t="shared" si="12"/>
        <v>2.0799999999999999E-2</v>
      </c>
      <c r="AK36" s="102">
        <f t="shared" si="12"/>
        <v>2.5999999999999999E-3</v>
      </c>
      <c r="AL36" s="102">
        <f t="shared" si="12"/>
        <v>2.6599999999999999E-2</v>
      </c>
    </row>
    <row r="37" spans="1:38">
      <c r="A37" s="109" t="s">
        <v>173</v>
      </c>
      <c r="B37" s="101">
        <f>SUM(B34:B36)</f>
        <v>0.2339</v>
      </c>
      <c r="C37" s="101">
        <f t="shared" ref="C37:AL37" si="13">SUM(C34:C36)</f>
        <v>0.23330000000000001</v>
      </c>
      <c r="D37" s="101">
        <f t="shared" si="13"/>
        <v>0.23861583589999999</v>
      </c>
      <c r="E37" s="101">
        <f t="shared" si="13"/>
        <v>0.24742669050000002</v>
      </c>
      <c r="F37" s="101">
        <f t="shared" si="13"/>
        <v>0.21479999999999999</v>
      </c>
      <c r="G37" s="101">
        <f t="shared" si="13"/>
        <v>0.2208</v>
      </c>
      <c r="H37" s="101">
        <f t="shared" si="13"/>
        <v>0.20989999999999998</v>
      </c>
      <c r="I37" s="101">
        <f t="shared" si="13"/>
        <v>0.21089999999999998</v>
      </c>
      <c r="J37" s="101">
        <f t="shared" si="13"/>
        <v>0.21759999999999999</v>
      </c>
      <c r="K37" s="101">
        <f t="shared" si="13"/>
        <v>0.17539999999999997</v>
      </c>
      <c r="L37" s="101">
        <f t="shared" si="13"/>
        <v>0.2341</v>
      </c>
      <c r="M37" s="101">
        <f t="shared" si="13"/>
        <v>0.21959999999999999</v>
      </c>
      <c r="N37" s="101">
        <f t="shared" si="13"/>
        <v>0.19800000000000001</v>
      </c>
      <c r="O37" s="101">
        <f t="shared" si="13"/>
        <v>0.2349</v>
      </c>
      <c r="P37" s="101">
        <f t="shared" si="13"/>
        <v>0.25042836489999998</v>
      </c>
      <c r="Q37" s="101">
        <f>SUM(Q34:Q36)</f>
        <v>0.2655094455</v>
      </c>
      <c r="R37" s="101">
        <f t="shared" si="13"/>
        <v>0.2135</v>
      </c>
      <c r="S37" s="101">
        <f t="shared" si="13"/>
        <v>0.22159999999999999</v>
      </c>
      <c r="T37" s="101">
        <f t="shared" si="13"/>
        <v>0.21009999999999998</v>
      </c>
      <c r="U37" s="101">
        <f t="shared" si="13"/>
        <v>0.21189999999999998</v>
      </c>
      <c r="V37" s="101">
        <f t="shared" si="13"/>
        <v>0.21839999999999998</v>
      </c>
      <c r="W37" s="101">
        <f t="shared" si="13"/>
        <v>0.17259999999999998</v>
      </c>
      <c r="X37" s="101">
        <f t="shared" si="13"/>
        <v>0.23950000000000002</v>
      </c>
      <c r="Y37" s="101">
        <f t="shared" si="13"/>
        <v>0.21959999999999999</v>
      </c>
      <c r="Z37" s="101">
        <f t="shared" si="13"/>
        <v>0.19469999999999998</v>
      </c>
      <c r="AA37" s="101">
        <f t="shared" si="13"/>
        <v>0.24110000000000001</v>
      </c>
      <c r="AB37" s="101">
        <f t="shared" si="13"/>
        <v>0.27873370050000001</v>
      </c>
      <c r="AC37" s="101">
        <f t="shared" si="13"/>
        <v>0.28137350049999998</v>
      </c>
      <c r="AD37" s="101">
        <f t="shared" si="13"/>
        <v>0.21509999999999999</v>
      </c>
      <c r="AE37" s="101">
        <f t="shared" si="13"/>
        <v>0.22520000000000001</v>
      </c>
      <c r="AF37" s="101">
        <f t="shared" si="13"/>
        <v>0.21239999999999998</v>
      </c>
      <c r="AG37" s="101">
        <f t="shared" si="13"/>
        <v>0.21500000000000002</v>
      </c>
      <c r="AH37" s="101">
        <f t="shared" si="13"/>
        <v>0.21679999999999999</v>
      </c>
      <c r="AI37" s="101">
        <f t="shared" si="13"/>
        <v>0.16909999999999997</v>
      </c>
      <c r="AJ37" s="101">
        <f t="shared" si="13"/>
        <v>0.24979999999999997</v>
      </c>
      <c r="AK37" s="101">
        <f t="shared" si="13"/>
        <v>0.22109999999999999</v>
      </c>
      <c r="AL37" s="101">
        <f t="shared" si="13"/>
        <v>0.17609999999999998</v>
      </c>
    </row>
    <row r="38" spans="1:38" ht="12.6" customHeight="1">
      <c r="A38" s="109" t="s">
        <v>152</v>
      </c>
      <c r="B38" s="101">
        <f>SUM(B29:B37)</f>
        <v>4.4685289655172422</v>
      </c>
      <c r="C38" s="101">
        <f t="shared" ref="C38:AL38" si="14">SUM(C29:C37)</f>
        <v>8.8218504174228674</v>
      </c>
      <c r="D38" s="101">
        <f t="shared" si="14"/>
        <v>13.036747513564004</v>
      </c>
      <c r="E38" s="101">
        <f t="shared" si="14"/>
        <v>19.404608618536408</v>
      </c>
      <c r="F38" s="101">
        <f t="shared" si="14"/>
        <v>10.446771455535389</v>
      </c>
      <c r="G38" s="101">
        <f t="shared" si="14"/>
        <v>10.830953422867513</v>
      </c>
      <c r="H38" s="101">
        <f t="shared" si="14"/>
        <v>10.235475963702356</v>
      </c>
      <c r="I38" s="101">
        <f t="shared" si="14"/>
        <v>12.220431702359345</v>
      </c>
      <c r="J38" s="101">
        <f t="shared" si="14"/>
        <v>10.266778969147005</v>
      </c>
      <c r="K38" s="101">
        <f t="shared" si="14"/>
        <v>9.3297157168784004</v>
      </c>
      <c r="L38" s="101">
        <f t="shared" si="14"/>
        <v>12.401018998185116</v>
      </c>
      <c r="M38" s="101">
        <f t="shared" si="14"/>
        <v>9.1676352522686013</v>
      </c>
      <c r="N38" s="101">
        <f t="shared" si="14"/>
        <v>11.77610315063521</v>
      </c>
      <c r="O38" s="101">
        <f t="shared" si="14"/>
        <v>9.8614166751361161</v>
      </c>
      <c r="P38" s="101">
        <f t="shared" si="14"/>
        <v>17.424289270798269</v>
      </c>
      <c r="Q38" s="101">
        <f t="shared" si="14"/>
        <v>23.366722380836951</v>
      </c>
      <c r="R38" s="101">
        <f t="shared" si="14"/>
        <v>11.802861756805806</v>
      </c>
      <c r="S38" s="101">
        <f t="shared" si="14"/>
        <v>12.787082112522684</v>
      </c>
      <c r="T38" s="101">
        <f t="shared" si="14"/>
        <v>11.157605335753175</v>
      </c>
      <c r="U38" s="101">
        <f t="shared" si="14"/>
        <v>14.175867905626131</v>
      </c>
      <c r="V38" s="101">
        <f t="shared" si="14"/>
        <v>11.464872275862069</v>
      </c>
      <c r="W38" s="101">
        <f t="shared" si="14"/>
        <v>10.42243156442831</v>
      </c>
      <c r="X38" s="101">
        <f t="shared" si="14"/>
        <v>14.15874768784029</v>
      </c>
      <c r="Y38" s="101">
        <f t="shared" si="14"/>
        <v>10.060176646098002</v>
      </c>
      <c r="Z38" s="101">
        <f t="shared" si="14"/>
        <v>13.896789764065334</v>
      </c>
      <c r="AA38" s="101">
        <f t="shared" si="14"/>
        <v>12.766131978221415</v>
      </c>
      <c r="AB38" s="101">
        <f t="shared" si="14"/>
        <v>28.238003292103006</v>
      </c>
      <c r="AC38" s="101">
        <f t="shared" si="14"/>
        <v>29.965530469772705</v>
      </c>
      <c r="AD38" s="101">
        <f t="shared" si="14"/>
        <v>14.571501785843918</v>
      </c>
      <c r="AE38" s="101">
        <f t="shared" si="14"/>
        <v>16.629944000000002</v>
      </c>
      <c r="AF38" s="101">
        <f t="shared" si="14"/>
        <v>13.295018998185117</v>
      </c>
      <c r="AG38" s="101">
        <f t="shared" si="14"/>
        <v>17.376285393829402</v>
      </c>
      <c r="AH38" s="101">
        <f t="shared" si="14"/>
        <v>13.842846867513611</v>
      </c>
      <c r="AI38" s="101">
        <f t="shared" si="14"/>
        <v>12.89370315063521</v>
      </c>
      <c r="AJ38" s="101">
        <f t="shared" si="14"/>
        <v>17.894758482758618</v>
      </c>
      <c r="AK38" s="101">
        <f t="shared" si="14"/>
        <v>12.215697822141559</v>
      </c>
      <c r="AL38" s="101">
        <f t="shared" si="14"/>
        <v>19.221278156079855</v>
      </c>
    </row>
    <row r="39" spans="1:38">
      <c r="A39" s="108" t="s">
        <v>243</v>
      </c>
      <c r="B39" s="91" t="s">
        <v>174</v>
      </c>
      <c r="C39" s="220" t="s">
        <v>175</v>
      </c>
      <c r="D39" s="220" t="s">
        <v>176</v>
      </c>
      <c r="E39" s="220" t="s">
        <v>177</v>
      </c>
      <c r="F39" s="220" t="s">
        <v>178</v>
      </c>
      <c r="G39" s="220" t="s">
        <v>179</v>
      </c>
      <c r="H39" s="220" t="s">
        <v>178</v>
      </c>
      <c r="I39" s="220" t="s">
        <v>180</v>
      </c>
      <c r="J39" s="220" t="s">
        <v>178</v>
      </c>
      <c r="K39" s="220" t="s">
        <v>181</v>
      </c>
      <c r="L39" s="220" t="s">
        <v>180</v>
      </c>
      <c r="M39" s="220" t="s">
        <v>182</v>
      </c>
      <c r="N39" s="220" t="s">
        <v>183</v>
      </c>
      <c r="O39" s="220" t="s">
        <v>184</v>
      </c>
      <c r="P39" s="220" t="s">
        <v>185</v>
      </c>
      <c r="Q39" s="220" t="s">
        <v>186</v>
      </c>
      <c r="R39" s="220" t="s">
        <v>187</v>
      </c>
      <c r="S39" s="220" t="s">
        <v>176</v>
      </c>
      <c r="T39" s="220" t="s">
        <v>188</v>
      </c>
      <c r="U39" s="220" t="s">
        <v>189</v>
      </c>
      <c r="V39" s="220" t="s">
        <v>183</v>
      </c>
      <c r="W39" s="220" t="s">
        <v>179</v>
      </c>
      <c r="X39" s="220" t="s">
        <v>189</v>
      </c>
      <c r="Y39" s="220" t="s">
        <v>178</v>
      </c>
      <c r="Z39" s="220" t="s">
        <v>190</v>
      </c>
      <c r="AA39" s="220" t="s">
        <v>176</v>
      </c>
      <c r="AB39" s="220" t="s">
        <v>191</v>
      </c>
      <c r="AC39" s="220" t="s">
        <v>191</v>
      </c>
      <c r="AD39" s="220" t="s">
        <v>190</v>
      </c>
      <c r="AE39" s="220" t="s">
        <v>192</v>
      </c>
      <c r="AF39" s="220" t="s">
        <v>176</v>
      </c>
      <c r="AG39" s="220" t="s">
        <v>192</v>
      </c>
      <c r="AH39" s="220" t="s">
        <v>176</v>
      </c>
      <c r="AI39" s="220" t="s">
        <v>176</v>
      </c>
      <c r="AJ39" s="220" t="s">
        <v>192</v>
      </c>
      <c r="AK39" s="220" t="s">
        <v>187</v>
      </c>
      <c r="AL39" s="220" t="s">
        <v>193</v>
      </c>
    </row>
    <row r="42" spans="1:38" ht="14.4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</row>
    <row r="44" spans="1:38" ht="20.399999999999999" customHeight="1">
      <c r="A44" s="109" t="s">
        <v>244</v>
      </c>
      <c r="B44" s="228">
        <v>2035</v>
      </c>
      <c r="C44" s="228"/>
      <c r="D44" s="229">
        <v>2040</v>
      </c>
      <c r="E44" s="229"/>
      <c r="F44" s="229">
        <v>2050</v>
      </c>
      <c r="G44" s="229"/>
    </row>
    <row r="45" spans="1:38" ht="20.399999999999999">
      <c r="A45" s="227" t="s">
        <v>166</v>
      </c>
      <c r="B45" s="104">
        <f>MIN(C29:N29)</f>
        <v>0.51992352522686025</v>
      </c>
      <c r="C45" s="105">
        <f>MAX(D29:O29)</f>
        <v>1.3499655237536408</v>
      </c>
      <c r="D45" s="104">
        <f>MIN(O29:Z29)</f>
        <v>0.5515076646098005</v>
      </c>
      <c r="E45" s="105">
        <f>MAX(P29:AA29)</f>
        <v>1.6376703489836952</v>
      </c>
      <c r="F45" s="104">
        <f>MIN(AA29:AL29)</f>
        <v>0.6478797822141561</v>
      </c>
      <c r="G45" s="105">
        <f t="shared" ref="G45:G53" si="15">MAX(AB29:AL29)</f>
        <v>2.1035283468772707</v>
      </c>
    </row>
    <row r="46" spans="1:38" ht="20.399999999999999">
      <c r="A46" s="227" t="s">
        <v>167</v>
      </c>
      <c r="B46" s="104">
        <f t="shared" ref="B46:B53" si="16">MIN(C30:N30)</f>
        <v>4.6793117270417417</v>
      </c>
      <c r="C46" s="105">
        <f t="shared" ref="C46:C53" si="17">MAX(D30:O30)</f>
        <v>12.149689713782765</v>
      </c>
      <c r="D46" s="104">
        <f t="shared" ref="D46:D53" si="18">MIN(O30:Z30)</f>
        <v>4.963568981488204</v>
      </c>
      <c r="E46" s="105">
        <f t="shared" ref="E46:E53" si="19">MAX(P30:AA30)</f>
        <v>14.739033140853255</v>
      </c>
      <c r="F46" s="104">
        <f t="shared" ref="F46:F53" si="20">MIN(AA30:AL30)</f>
        <v>5.8309180399274041</v>
      </c>
      <c r="G46" s="105">
        <f t="shared" si="15"/>
        <v>18.931755121895435</v>
      </c>
    </row>
    <row r="47" spans="1:38">
      <c r="A47" s="227" t="s">
        <v>168</v>
      </c>
      <c r="B47" s="104">
        <f>MIN(F31:N31)</f>
        <v>1.5249999999999999</v>
      </c>
      <c r="C47" s="105">
        <f>MAX(F31:O31)</f>
        <v>2.379</v>
      </c>
      <c r="D47" s="104">
        <f>MIN(R31:Z31)</f>
        <v>1.891</v>
      </c>
      <c r="E47" s="105">
        <f t="shared" si="19"/>
        <v>3.05</v>
      </c>
      <c r="F47" s="104">
        <f>MIN(AD31:AL31)</f>
        <v>2.5619999999999998</v>
      </c>
      <c r="G47" s="105">
        <f t="shared" si="15"/>
        <v>4.0869999999999997</v>
      </c>
    </row>
    <row r="48" spans="1:38">
      <c r="A48" s="227" t="s">
        <v>169</v>
      </c>
      <c r="B48" s="104">
        <f t="shared" si="16"/>
        <v>0.97660000000000002</v>
      </c>
      <c r="C48" s="105">
        <f t="shared" si="17"/>
        <v>3.1920000000000002</v>
      </c>
      <c r="D48" s="104">
        <f t="shared" si="18"/>
        <v>1.1057999999999999</v>
      </c>
      <c r="E48" s="105">
        <f t="shared" si="19"/>
        <v>3.7202000000000002</v>
      </c>
      <c r="F48" s="104">
        <f t="shared" si="20"/>
        <v>1.4478</v>
      </c>
      <c r="G48" s="105">
        <f t="shared" si="15"/>
        <v>4.6929999999999996</v>
      </c>
    </row>
    <row r="49" spans="1:7">
      <c r="A49" s="227" t="s">
        <v>170</v>
      </c>
      <c r="B49" s="104">
        <f t="shared" si="16"/>
        <v>0.80359999999999998</v>
      </c>
      <c r="C49" s="105">
        <f t="shared" si="17"/>
        <v>2.2181000000000002</v>
      </c>
      <c r="D49" s="104">
        <f t="shared" si="18"/>
        <v>0.81589999999999996</v>
      </c>
      <c r="E49" s="105">
        <f t="shared" si="19"/>
        <v>2.7387999999999999</v>
      </c>
      <c r="F49" s="104">
        <f t="shared" si="20"/>
        <v>0.88970000000000005</v>
      </c>
      <c r="G49" s="105">
        <f t="shared" si="15"/>
        <v>3.6859000000000002</v>
      </c>
    </row>
    <row r="50" spans="1:7">
      <c r="A50" s="227" t="s">
        <v>161</v>
      </c>
      <c r="B50" s="104">
        <f t="shared" si="16"/>
        <v>8.4000000000000005E-2</v>
      </c>
      <c r="C50" s="105">
        <f t="shared" si="17"/>
        <v>0.13950000000000001</v>
      </c>
      <c r="D50" s="104">
        <f t="shared" si="18"/>
        <v>8.1000000000000003E-2</v>
      </c>
      <c r="E50" s="105">
        <f t="shared" si="19"/>
        <v>0.13950000000000001</v>
      </c>
      <c r="F50" s="104">
        <f t="shared" si="20"/>
        <v>6.1499999999999999E-2</v>
      </c>
      <c r="G50" s="105">
        <f t="shared" si="15"/>
        <v>0.14099999999999999</v>
      </c>
    </row>
    <row r="51" spans="1:7">
      <c r="A51" s="227" t="s">
        <v>171</v>
      </c>
      <c r="B51" s="104">
        <f t="shared" si="16"/>
        <v>8.7715835899999997E-2</v>
      </c>
      <c r="C51" s="105">
        <f t="shared" si="17"/>
        <v>8.7999999999999995E-2</v>
      </c>
      <c r="D51" s="104">
        <f t="shared" si="18"/>
        <v>8.772836489999998E-2</v>
      </c>
      <c r="E51" s="105">
        <f t="shared" si="19"/>
        <v>8.8209445499999997E-2</v>
      </c>
      <c r="F51" s="104">
        <f t="shared" si="20"/>
        <v>8.7999999999999995E-2</v>
      </c>
      <c r="G51" s="105">
        <f t="shared" si="15"/>
        <v>8.8473500499999996E-2</v>
      </c>
    </row>
    <row r="52" spans="1:7">
      <c r="A52" s="227" t="s">
        <v>172</v>
      </c>
      <c r="B52" s="104">
        <f t="shared" si="16"/>
        <v>2.5999999999999999E-3</v>
      </c>
      <c r="C52" s="105">
        <f t="shared" si="17"/>
        <v>2.3E-2</v>
      </c>
      <c r="D52" s="104">
        <f t="shared" si="18"/>
        <v>2.5999999999999999E-3</v>
      </c>
      <c r="E52" s="105">
        <f t="shared" si="19"/>
        <v>4.0800000000000003E-2</v>
      </c>
      <c r="F52" s="104">
        <f t="shared" si="20"/>
        <v>2.5999999999999999E-3</v>
      </c>
      <c r="G52" s="105">
        <f t="shared" si="15"/>
        <v>5.9400000000000001E-2</v>
      </c>
    </row>
    <row r="53" spans="1:7" ht="10.8" thickBot="1">
      <c r="A53" s="227" t="s">
        <v>173</v>
      </c>
      <c r="B53" s="106">
        <f t="shared" si="16"/>
        <v>0.17539999999999997</v>
      </c>
      <c r="C53" s="107">
        <f t="shared" si="17"/>
        <v>0.24742669050000002</v>
      </c>
      <c r="D53" s="106">
        <f t="shared" si="18"/>
        <v>0.17259999999999998</v>
      </c>
      <c r="E53" s="107">
        <f t="shared" si="19"/>
        <v>0.2655094455</v>
      </c>
      <c r="F53" s="106">
        <f t="shared" si="20"/>
        <v>0.16909999999999997</v>
      </c>
      <c r="G53" s="107">
        <f t="shared" si="15"/>
        <v>0.28137350049999998</v>
      </c>
    </row>
    <row r="92" spans="1:38" ht="24" customHeight="1" thickBot="1">
      <c r="A92" s="109" t="s">
        <v>245</v>
      </c>
    </row>
    <row r="93" spans="1:38" ht="20.399999999999999">
      <c r="A93" s="221" t="s">
        <v>204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7"/>
    </row>
    <row r="94" spans="1:38">
      <c r="A94" s="128"/>
      <c r="B94" s="100"/>
      <c r="C94" s="181">
        <v>2035</v>
      </c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2"/>
      <c r="O94" s="183">
        <v>2040</v>
      </c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5"/>
      <c r="AA94" s="186">
        <v>2050</v>
      </c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8"/>
    </row>
    <row r="95" spans="1:38">
      <c r="A95" s="222" t="s">
        <v>247</v>
      </c>
      <c r="B95" s="94">
        <v>2020</v>
      </c>
      <c r="C95" s="95" t="s">
        <v>260</v>
      </c>
      <c r="D95" s="95" t="s">
        <v>261</v>
      </c>
      <c r="E95" s="95" t="s">
        <v>262</v>
      </c>
      <c r="F95" s="96" t="s">
        <v>263</v>
      </c>
      <c r="G95" s="96" t="s">
        <v>264</v>
      </c>
      <c r="H95" s="96" t="s">
        <v>265</v>
      </c>
      <c r="I95" s="96" t="s">
        <v>266</v>
      </c>
      <c r="J95" s="96" t="s">
        <v>267</v>
      </c>
      <c r="K95" s="96" t="s">
        <v>268</v>
      </c>
      <c r="L95" s="96" t="s">
        <v>269</v>
      </c>
      <c r="M95" s="96" t="s">
        <v>270</v>
      </c>
      <c r="N95" s="96" t="s">
        <v>271</v>
      </c>
      <c r="O95" s="95" t="s">
        <v>260</v>
      </c>
      <c r="P95" s="95" t="s">
        <v>261</v>
      </c>
      <c r="Q95" s="95" t="s">
        <v>262</v>
      </c>
      <c r="R95" s="96" t="s">
        <v>263</v>
      </c>
      <c r="S95" s="96" t="s">
        <v>264</v>
      </c>
      <c r="T95" s="96" t="s">
        <v>265</v>
      </c>
      <c r="U95" s="96" t="s">
        <v>266</v>
      </c>
      <c r="V95" s="96" t="s">
        <v>267</v>
      </c>
      <c r="W95" s="96" t="s">
        <v>268</v>
      </c>
      <c r="X95" s="96" t="s">
        <v>269</v>
      </c>
      <c r="Y95" s="96" t="s">
        <v>270</v>
      </c>
      <c r="Z95" s="96" t="s">
        <v>271</v>
      </c>
      <c r="AA95" s="95" t="s">
        <v>260</v>
      </c>
      <c r="AB95" s="95" t="s">
        <v>261</v>
      </c>
      <c r="AC95" s="95" t="s">
        <v>262</v>
      </c>
      <c r="AD95" s="96" t="s">
        <v>263</v>
      </c>
      <c r="AE95" s="96" t="s">
        <v>264</v>
      </c>
      <c r="AF95" s="96" t="s">
        <v>265</v>
      </c>
      <c r="AG95" s="96" t="s">
        <v>266</v>
      </c>
      <c r="AH95" s="96" t="s">
        <v>267</v>
      </c>
      <c r="AI95" s="96" t="s">
        <v>268</v>
      </c>
      <c r="AJ95" s="96" t="s">
        <v>269</v>
      </c>
      <c r="AK95" s="96" t="s">
        <v>270</v>
      </c>
      <c r="AL95" s="96" t="s">
        <v>271</v>
      </c>
    </row>
    <row r="96" spans="1:38" ht="20.399999999999999">
      <c r="A96" s="118" t="s">
        <v>166</v>
      </c>
      <c r="B96" s="101">
        <f t="shared" ref="B96:AL96" si="21">B29*2</f>
        <v>0.61548579310344831</v>
      </c>
      <c r="C96" s="101">
        <f t="shared" si="21"/>
        <v>1.2390700834845736</v>
      </c>
      <c r="D96" s="101">
        <f t="shared" si="21"/>
        <v>1.8233631683528013</v>
      </c>
      <c r="E96" s="101">
        <f t="shared" si="21"/>
        <v>2.6999310475072815</v>
      </c>
      <c r="F96" s="101">
        <f t="shared" si="21"/>
        <v>1.216394291107078</v>
      </c>
      <c r="G96" s="101">
        <f t="shared" si="21"/>
        <v>1.2358306845735028</v>
      </c>
      <c r="H96" s="101">
        <f t="shared" si="21"/>
        <v>1.2115351927404718</v>
      </c>
      <c r="I96" s="101">
        <f t="shared" si="21"/>
        <v>1.3670263404718694</v>
      </c>
      <c r="J96" s="101">
        <f t="shared" si="21"/>
        <v>1.208295793829401</v>
      </c>
      <c r="K96" s="101">
        <f t="shared" si="21"/>
        <v>1.0609031433756806</v>
      </c>
      <c r="L96" s="101">
        <f t="shared" si="21"/>
        <v>1.4885037996370236</v>
      </c>
      <c r="M96" s="101">
        <f t="shared" si="21"/>
        <v>1.0398470504537205</v>
      </c>
      <c r="N96" s="101">
        <f t="shared" si="21"/>
        <v>1.3978006301270418</v>
      </c>
      <c r="O96" s="101">
        <f t="shared" si="21"/>
        <v>1.3832233350272234</v>
      </c>
      <c r="P96" s="101">
        <f t="shared" si="21"/>
        <v>2.4437265081996542</v>
      </c>
      <c r="Q96" s="101">
        <f t="shared" si="21"/>
        <v>3.2753406979673905</v>
      </c>
      <c r="R96" s="101">
        <f t="shared" si="21"/>
        <v>1.3346323513611615</v>
      </c>
      <c r="S96" s="101">
        <f t="shared" si="21"/>
        <v>1.4204764225045372</v>
      </c>
      <c r="T96" s="101">
        <f t="shared" si="21"/>
        <v>1.2876610671506354</v>
      </c>
      <c r="U96" s="101">
        <f t="shared" si="21"/>
        <v>1.5435735811252269</v>
      </c>
      <c r="V96" s="101">
        <f t="shared" si="21"/>
        <v>1.323294455172414</v>
      </c>
      <c r="W96" s="101">
        <f t="shared" si="21"/>
        <v>1.1516063128856624</v>
      </c>
      <c r="X96" s="101">
        <f t="shared" si="21"/>
        <v>1.6731495375680581</v>
      </c>
      <c r="Y96" s="101">
        <f t="shared" si="21"/>
        <v>1.103015329219601</v>
      </c>
      <c r="Z96" s="101">
        <f t="shared" si="21"/>
        <v>1.6277979528130673</v>
      </c>
      <c r="AA96" s="101">
        <f t="shared" si="21"/>
        <v>1.7978663956442833</v>
      </c>
      <c r="AB96" s="101">
        <f t="shared" si="21"/>
        <v>3.9718471782206022</v>
      </c>
      <c r="AC96" s="101">
        <f t="shared" si="21"/>
        <v>4.2070566937545415</v>
      </c>
      <c r="AD96" s="101">
        <f t="shared" si="21"/>
        <v>1.6148403571687842</v>
      </c>
      <c r="AE96" s="101">
        <f t="shared" si="21"/>
        <v>1.7849088</v>
      </c>
      <c r="AF96" s="101">
        <f t="shared" si="21"/>
        <v>1.4885037996370236</v>
      </c>
      <c r="AG96" s="101">
        <f t="shared" si="21"/>
        <v>1.8480770787658802</v>
      </c>
      <c r="AH96" s="101">
        <f t="shared" si="21"/>
        <v>1.5662493735027225</v>
      </c>
      <c r="AI96" s="101">
        <f t="shared" si="21"/>
        <v>1.3978006301270418</v>
      </c>
      <c r="AJ96" s="101">
        <f t="shared" si="21"/>
        <v>2.0926516965517243</v>
      </c>
      <c r="AK96" s="101">
        <f t="shared" si="21"/>
        <v>1.2957595644283122</v>
      </c>
      <c r="AL96" s="119">
        <f t="shared" si="21"/>
        <v>2.2870156312159708</v>
      </c>
    </row>
    <row r="97" spans="1:38" ht="20.399999999999999">
      <c r="A97" s="118" t="s">
        <v>167</v>
      </c>
      <c r="B97" s="101">
        <f t="shared" ref="B97:AL97" si="22">B30*2</f>
        <v>5.5393721379310348</v>
      </c>
      <c r="C97" s="101">
        <f t="shared" si="22"/>
        <v>11.151630751361161</v>
      </c>
      <c r="D97" s="101">
        <f t="shared" si="22"/>
        <v>16.410268515175211</v>
      </c>
      <c r="E97" s="101">
        <f t="shared" si="22"/>
        <v>24.29937942756553</v>
      </c>
      <c r="F97" s="101">
        <f t="shared" si="22"/>
        <v>10.947548619963703</v>
      </c>
      <c r="G97" s="101">
        <f t="shared" si="22"/>
        <v>11.122476161161524</v>
      </c>
      <c r="H97" s="101">
        <f t="shared" si="22"/>
        <v>10.903816734664247</v>
      </c>
      <c r="I97" s="101">
        <f t="shared" si="22"/>
        <v>12.303237064246824</v>
      </c>
      <c r="J97" s="101">
        <f t="shared" si="22"/>
        <v>10.87466214446461</v>
      </c>
      <c r="K97" s="101">
        <f t="shared" si="22"/>
        <v>9.5481282903811255</v>
      </c>
      <c r="L97" s="101">
        <f t="shared" si="22"/>
        <v>13.396534196733212</v>
      </c>
      <c r="M97" s="101">
        <f t="shared" si="22"/>
        <v>9.3586234540834834</v>
      </c>
      <c r="N97" s="101">
        <f t="shared" si="22"/>
        <v>12.580205671143377</v>
      </c>
      <c r="O97" s="101">
        <f t="shared" si="22"/>
        <v>12.44901001524501</v>
      </c>
      <c r="P97" s="101">
        <f t="shared" si="22"/>
        <v>21.993538573796886</v>
      </c>
      <c r="Q97" s="101">
        <f t="shared" si="22"/>
        <v>29.478066281706511</v>
      </c>
      <c r="R97" s="101">
        <f t="shared" si="22"/>
        <v>12.011691162250454</v>
      </c>
      <c r="S97" s="101">
        <f t="shared" si="22"/>
        <v>12.784287802540835</v>
      </c>
      <c r="T97" s="101">
        <f t="shared" si="22"/>
        <v>11.588949604355717</v>
      </c>
      <c r="U97" s="101">
        <f t="shared" si="22"/>
        <v>13.892162230127042</v>
      </c>
      <c r="V97" s="101">
        <f t="shared" si="22"/>
        <v>11.909650096551724</v>
      </c>
      <c r="W97" s="101">
        <f t="shared" si="22"/>
        <v>10.364456815970961</v>
      </c>
      <c r="X97" s="101">
        <f t="shared" si="22"/>
        <v>15.058345838112524</v>
      </c>
      <c r="Y97" s="101">
        <f t="shared" si="22"/>
        <v>9.927137962976408</v>
      </c>
      <c r="Z97" s="101">
        <f t="shared" si="22"/>
        <v>14.650181575317605</v>
      </c>
      <c r="AA97" s="101">
        <f t="shared" si="22"/>
        <v>16.180797560798549</v>
      </c>
      <c r="AB97" s="101">
        <f t="shared" si="22"/>
        <v>35.746624603985424</v>
      </c>
      <c r="AC97" s="101">
        <f t="shared" si="22"/>
        <v>37.86351024379087</v>
      </c>
      <c r="AD97" s="101">
        <f t="shared" si="22"/>
        <v>14.533563214519056</v>
      </c>
      <c r="AE97" s="101">
        <f t="shared" si="22"/>
        <v>16.064179200000002</v>
      </c>
      <c r="AF97" s="101">
        <f t="shared" si="22"/>
        <v>13.396534196733212</v>
      </c>
      <c r="AG97" s="101">
        <f t="shared" si="22"/>
        <v>16.632693708892923</v>
      </c>
      <c r="AH97" s="101">
        <f t="shared" si="22"/>
        <v>14.096244361524501</v>
      </c>
      <c r="AI97" s="101">
        <f t="shared" si="22"/>
        <v>12.580205671143377</v>
      </c>
      <c r="AJ97" s="101">
        <f t="shared" si="22"/>
        <v>18.833865268965518</v>
      </c>
      <c r="AK97" s="101">
        <f t="shared" si="22"/>
        <v>11.661836079854808</v>
      </c>
      <c r="AL97" s="119">
        <f t="shared" si="22"/>
        <v>20.583140680943739</v>
      </c>
    </row>
    <row r="98" spans="1:38">
      <c r="A98" s="118" t="s">
        <v>168</v>
      </c>
      <c r="B98" s="101">
        <f t="shared" ref="B98:AL98" si="23">B31*2</f>
        <v>0.24399999999999999</v>
      </c>
      <c r="C98" s="101">
        <f t="shared" si="23"/>
        <v>0</v>
      </c>
      <c r="D98" s="101">
        <f t="shared" si="23"/>
        <v>0</v>
      </c>
      <c r="E98" s="101">
        <f t="shared" si="23"/>
        <v>0</v>
      </c>
      <c r="F98" s="101">
        <f t="shared" si="23"/>
        <v>3.4159999999999999</v>
      </c>
      <c r="G98" s="101">
        <f t="shared" si="23"/>
        <v>3.9039999999999999</v>
      </c>
      <c r="H98" s="101">
        <f t="shared" si="23"/>
        <v>3.05</v>
      </c>
      <c r="I98" s="101">
        <f t="shared" si="23"/>
        <v>4.758</v>
      </c>
      <c r="J98" s="101">
        <f t="shared" si="23"/>
        <v>3.1720000000000002</v>
      </c>
      <c r="K98" s="101">
        <f t="shared" si="23"/>
        <v>3.4159999999999999</v>
      </c>
      <c r="L98" s="101">
        <f t="shared" si="23"/>
        <v>3.4159999999999999</v>
      </c>
      <c r="M98" s="101">
        <f t="shared" si="23"/>
        <v>3.4159999999999999</v>
      </c>
      <c r="N98" s="101">
        <f t="shared" si="23"/>
        <v>3.4159999999999999</v>
      </c>
      <c r="O98" s="101">
        <f t="shared" si="23"/>
        <v>0</v>
      </c>
      <c r="P98" s="101">
        <f t="shared" si="23"/>
        <v>0</v>
      </c>
      <c r="Q98" s="101">
        <f t="shared" si="23"/>
        <v>0</v>
      </c>
      <c r="R98" s="101">
        <f t="shared" si="23"/>
        <v>4.3920000000000003</v>
      </c>
      <c r="S98" s="101">
        <f t="shared" si="23"/>
        <v>5.1239999999999997</v>
      </c>
      <c r="T98" s="101">
        <f t="shared" si="23"/>
        <v>3.782</v>
      </c>
      <c r="U98" s="101">
        <f t="shared" si="23"/>
        <v>6.1</v>
      </c>
      <c r="V98" s="101">
        <f t="shared" si="23"/>
        <v>3.9039999999999999</v>
      </c>
      <c r="W98" s="101">
        <f t="shared" si="23"/>
        <v>4.2699999999999996</v>
      </c>
      <c r="X98" s="101">
        <f t="shared" si="23"/>
        <v>4.3920000000000003</v>
      </c>
      <c r="Y98" s="101">
        <f t="shared" si="23"/>
        <v>4.2699999999999996</v>
      </c>
      <c r="Z98" s="101">
        <f t="shared" si="23"/>
        <v>4.3920000000000003</v>
      </c>
      <c r="AA98" s="101">
        <f t="shared" si="23"/>
        <v>0</v>
      </c>
      <c r="AB98" s="101">
        <f t="shared" si="23"/>
        <v>0</v>
      </c>
      <c r="AC98" s="101">
        <f t="shared" si="23"/>
        <v>0</v>
      </c>
      <c r="AD98" s="101">
        <f t="shared" si="23"/>
        <v>5.8559999999999999</v>
      </c>
      <c r="AE98" s="101">
        <f t="shared" si="23"/>
        <v>7.5640000000000001</v>
      </c>
      <c r="AF98" s="101">
        <f t="shared" si="23"/>
        <v>5.1239999999999997</v>
      </c>
      <c r="AG98" s="101">
        <f t="shared" si="23"/>
        <v>8.1739999999999995</v>
      </c>
      <c r="AH98" s="101">
        <f t="shared" si="23"/>
        <v>5.1239999999999997</v>
      </c>
      <c r="AI98" s="101">
        <f t="shared" si="23"/>
        <v>5.6120000000000001</v>
      </c>
      <c r="AJ98" s="101">
        <f t="shared" si="23"/>
        <v>5.9779999999999998</v>
      </c>
      <c r="AK98" s="101">
        <f t="shared" si="23"/>
        <v>5.734</v>
      </c>
      <c r="AL98" s="119">
        <f t="shared" si="23"/>
        <v>5.8559999999999999</v>
      </c>
    </row>
    <row r="99" spans="1:38">
      <c r="A99" s="118" t="s">
        <v>169</v>
      </c>
      <c r="B99" s="101">
        <f t="shared" ref="B99:AL99" si="24">B32*2</f>
        <v>0.5776</v>
      </c>
      <c r="C99" s="101">
        <f t="shared" si="24"/>
        <v>2.4091999999999998</v>
      </c>
      <c r="D99" s="101">
        <f t="shared" si="24"/>
        <v>4.4992000000000001</v>
      </c>
      <c r="E99" s="101">
        <f t="shared" si="24"/>
        <v>6.3840000000000003</v>
      </c>
      <c r="F99" s="101">
        <f t="shared" si="24"/>
        <v>2.7816000000000001</v>
      </c>
      <c r="G99" s="101">
        <f t="shared" si="24"/>
        <v>2.8271999999999999</v>
      </c>
      <c r="H99" s="101">
        <f t="shared" si="24"/>
        <v>2.8424</v>
      </c>
      <c r="I99" s="101">
        <f t="shared" si="24"/>
        <v>3.3896000000000002</v>
      </c>
      <c r="J99" s="101">
        <f t="shared" si="24"/>
        <v>2.7435999999999998</v>
      </c>
      <c r="K99" s="101">
        <f t="shared" si="24"/>
        <v>2.3256000000000001</v>
      </c>
      <c r="L99" s="101">
        <f t="shared" si="24"/>
        <v>3.5720000000000001</v>
      </c>
      <c r="M99" s="101">
        <f t="shared" si="24"/>
        <v>1.9532</v>
      </c>
      <c r="N99" s="101">
        <f t="shared" si="24"/>
        <v>3.4883999999999999</v>
      </c>
      <c r="O99" s="101">
        <f t="shared" si="24"/>
        <v>2.8271999999999999</v>
      </c>
      <c r="P99" s="101">
        <f t="shared" si="24"/>
        <v>6.1787999999999998</v>
      </c>
      <c r="Q99" s="101">
        <f t="shared" si="24"/>
        <v>7.4404000000000003</v>
      </c>
      <c r="R99" s="101">
        <f t="shared" si="24"/>
        <v>3.2831999999999999</v>
      </c>
      <c r="S99" s="101">
        <f t="shared" si="24"/>
        <v>3.5796000000000001</v>
      </c>
      <c r="T99" s="101">
        <f t="shared" si="24"/>
        <v>3.1844000000000001</v>
      </c>
      <c r="U99" s="101">
        <f t="shared" si="24"/>
        <v>4.0659999999999998</v>
      </c>
      <c r="V99" s="101">
        <f t="shared" si="24"/>
        <v>3.23</v>
      </c>
      <c r="W99" s="101">
        <f t="shared" si="24"/>
        <v>2.7284000000000002</v>
      </c>
      <c r="X99" s="101">
        <f t="shared" si="24"/>
        <v>4.1040000000000001</v>
      </c>
      <c r="Y99" s="101">
        <f t="shared" si="24"/>
        <v>2.2115999999999998</v>
      </c>
      <c r="Z99" s="101">
        <f t="shared" si="24"/>
        <v>4.18</v>
      </c>
      <c r="AA99" s="101">
        <f t="shared" si="24"/>
        <v>4.0964</v>
      </c>
      <c r="AB99" s="101">
        <f t="shared" si="24"/>
        <v>9.3859999999999992</v>
      </c>
      <c r="AC99" s="101">
        <f t="shared" si="24"/>
        <v>9.3632000000000009</v>
      </c>
      <c r="AD99" s="101">
        <f t="shared" si="24"/>
        <v>4.4004000000000003</v>
      </c>
      <c r="AE99" s="101">
        <f t="shared" si="24"/>
        <v>4.9779999999999998</v>
      </c>
      <c r="AF99" s="101">
        <f t="shared" si="24"/>
        <v>3.952</v>
      </c>
      <c r="AG99" s="101">
        <f t="shared" si="24"/>
        <v>5.2287999999999997</v>
      </c>
      <c r="AH99" s="101">
        <f t="shared" si="24"/>
        <v>4.1951999999999998</v>
      </c>
      <c r="AI99" s="101">
        <f t="shared" si="24"/>
        <v>3.7088000000000001</v>
      </c>
      <c r="AJ99" s="101">
        <f t="shared" si="24"/>
        <v>5.4340000000000002</v>
      </c>
      <c r="AK99" s="101">
        <f t="shared" si="24"/>
        <v>2.8956</v>
      </c>
      <c r="AL99" s="119">
        <f t="shared" si="24"/>
        <v>6.1256000000000004</v>
      </c>
    </row>
    <row r="100" spans="1:38">
      <c r="A100" s="118" t="s">
        <v>170</v>
      </c>
      <c r="B100" s="101">
        <f t="shared" ref="B100:AL100" si="25">B33*2</f>
        <v>1.0249999999999999</v>
      </c>
      <c r="C100" s="101">
        <f t="shared" si="25"/>
        <v>1.9106000000000001</v>
      </c>
      <c r="D100" s="101">
        <f t="shared" si="25"/>
        <v>2.3862000000000001</v>
      </c>
      <c r="E100" s="101">
        <f t="shared" si="25"/>
        <v>4.4362000000000004</v>
      </c>
      <c r="F100" s="101">
        <f t="shared" si="25"/>
        <v>1.6728000000000001</v>
      </c>
      <c r="G100" s="101">
        <f t="shared" si="25"/>
        <v>1.6892</v>
      </c>
      <c r="H100" s="101">
        <f t="shared" si="25"/>
        <v>1.6235999999999999</v>
      </c>
      <c r="I100" s="101">
        <f t="shared" si="25"/>
        <v>1.7794000000000001</v>
      </c>
      <c r="J100" s="101">
        <f t="shared" si="25"/>
        <v>1.6646000000000001</v>
      </c>
      <c r="K100" s="101">
        <f t="shared" si="25"/>
        <v>1.6072</v>
      </c>
      <c r="L100" s="101">
        <f t="shared" si="25"/>
        <v>1.9925999999999999</v>
      </c>
      <c r="M100" s="101">
        <f t="shared" si="25"/>
        <v>1.6892</v>
      </c>
      <c r="N100" s="101">
        <f t="shared" si="25"/>
        <v>1.8777999999999999</v>
      </c>
      <c r="O100" s="101">
        <f t="shared" si="25"/>
        <v>2.1238000000000001</v>
      </c>
      <c r="P100" s="101">
        <f t="shared" si="25"/>
        <v>3.2307999999999999</v>
      </c>
      <c r="Q100" s="101">
        <f t="shared" si="25"/>
        <v>5.4775999999999998</v>
      </c>
      <c r="R100" s="101">
        <f t="shared" si="25"/>
        <v>1.7302</v>
      </c>
      <c r="S100" s="101">
        <f t="shared" si="25"/>
        <v>1.7794000000000001</v>
      </c>
      <c r="T100" s="101">
        <f t="shared" si="25"/>
        <v>1.6317999999999999</v>
      </c>
      <c r="U100" s="101">
        <f t="shared" si="25"/>
        <v>1.9024000000000001</v>
      </c>
      <c r="V100" s="101">
        <f t="shared" si="25"/>
        <v>1.6892</v>
      </c>
      <c r="W100" s="101">
        <f t="shared" si="25"/>
        <v>1.64</v>
      </c>
      <c r="X100" s="101">
        <f t="shared" si="25"/>
        <v>2.1320000000000001</v>
      </c>
      <c r="Y100" s="101">
        <f t="shared" si="25"/>
        <v>1.7302</v>
      </c>
      <c r="Z100" s="101">
        <f t="shared" si="25"/>
        <v>2.1648000000000001</v>
      </c>
      <c r="AA100" s="101">
        <f t="shared" si="25"/>
        <v>2.4927999999999999</v>
      </c>
      <c r="AB100" s="101">
        <f t="shared" si="25"/>
        <v>6.2565999999999997</v>
      </c>
      <c r="AC100" s="101">
        <f t="shared" si="25"/>
        <v>7.3718000000000004</v>
      </c>
      <c r="AD100" s="101">
        <f t="shared" si="25"/>
        <v>1.8777999999999999</v>
      </c>
      <c r="AE100" s="101">
        <f t="shared" si="25"/>
        <v>1.968</v>
      </c>
      <c r="AF100" s="101">
        <f t="shared" si="25"/>
        <v>1.7794000000000001</v>
      </c>
      <c r="AG100" s="101">
        <f t="shared" si="25"/>
        <v>2.0089999999999999</v>
      </c>
      <c r="AH100" s="101">
        <f t="shared" si="25"/>
        <v>1.8368</v>
      </c>
      <c r="AI100" s="101">
        <f t="shared" si="25"/>
        <v>1.8122</v>
      </c>
      <c r="AJ100" s="101">
        <f t="shared" si="25"/>
        <v>2.4518</v>
      </c>
      <c r="AK100" s="101">
        <f t="shared" si="25"/>
        <v>1.9598</v>
      </c>
      <c r="AL100" s="119">
        <f t="shared" si="25"/>
        <v>2.8864000000000001</v>
      </c>
    </row>
    <row r="101" spans="1:38">
      <c r="A101" s="118" t="s">
        <v>161</v>
      </c>
      <c r="B101" s="101">
        <f t="shared" ref="B101:AL101" si="26">B34*2</f>
        <v>0.29099999999999998</v>
      </c>
      <c r="C101" s="101">
        <f t="shared" si="26"/>
        <v>0.27300000000000002</v>
      </c>
      <c r="D101" s="101">
        <f t="shared" si="26"/>
        <v>0.27300000000000002</v>
      </c>
      <c r="E101" s="101">
        <f t="shared" si="26"/>
        <v>0.27300000000000002</v>
      </c>
      <c r="F101" s="101">
        <f t="shared" si="26"/>
        <v>0.246</v>
      </c>
      <c r="G101" s="101">
        <f t="shared" si="26"/>
        <v>0.25800000000000001</v>
      </c>
      <c r="H101" s="101">
        <f t="shared" si="26"/>
        <v>0.23699999999999999</v>
      </c>
      <c r="I101" s="101">
        <f t="shared" si="26"/>
        <v>0.23699999999999999</v>
      </c>
      <c r="J101" s="101">
        <f t="shared" si="26"/>
        <v>0.252</v>
      </c>
      <c r="K101" s="101">
        <f t="shared" si="26"/>
        <v>0.16800000000000001</v>
      </c>
      <c r="L101" s="101">
        <f t="shared" si="26"/>
        <v>0.27900000000000003</v>
      </c>
      <c r="M101" s="101">
        <f t="shared" si="26"/>
        <v>0.25800000000000001</v>
      </c>
      <c r="N101" s="101">
        <f t="shared" si="26"/>
        <v>0.21</v>
      </c>
      <c r="O101" s="101">
        <f t="shared" si="26"/>
        <v>0.27300000000000002</v>
      </c>
      <c r="P101" s="101">
        <f t="shared" si="26"/>
        <v>0.27300000000000002</v>
      </c>
      <c r="Q101" s="101">
        <f t="shared" si="26"/>
        <v>0.27300000000000002</v>
      </c>
      <c r="R101" s="101">
        <f t="shared" si="26"/>
        <v>0.24299999999999999</v>
      </c>
      <c r="S101" s="101">
        <f t="shared" si="26"/>
        <v>0.25800000000000001</v>
      </c>
      <c r="T101" s="101">
        <f t="shared" si="26"/>
        <v>0.23699999999999999</v>
      </c>
      <c r="U101" s="101">
        <f t="shared" si="26"/>
        <v>0.23699999999999999</v>
      </c>
      <c r="V101" s="101">
        <f t="shared" si="26"/>
        <v>0.252</v>
      </c>
      <c r="W101" s="101">
        <f t="shared" si="26"/>
        <v>0.16200000000000001</v>
      </c>
      <c r="X101" s="101">
        <f t="shared" si="26"/>
        <v>0.27900000000000003</v>
      </c>
      <c r="Y101" s="101">
        <f t="shared" si="26"/>
        <v>0.25800000000000001</v>
      </c>
      <c r="Z101" s="101">
        <f t="shared" si="26"/>
        <v>0.19500000000000001</v>
      </c>
      <c r="AA101" s="101">
        <f t="shared" si="26"/>
        <v>0.26700000000000002</v>
      </c>
      <c r="AB101" s="101">
        <f t="shared" si="26"/>
        <v>0.26700000000000002</v>
      </c>
      <c r="AC101" s="101">
        <f t="shared" si="26"/>
        <v>0.26700000000000002</v>
      </c>
      <c r="AD101" s="101">
        <f t="shared" si="26"/>
        <v>0.24299999999999999</v>
      </c>
      <c r="AE101" s="101">
        <f t="shared" si="26"/>
        <v>0.25800000000000001</v>
      </c>
      <c r="AF101" s="101">
        <f t="shared" si="26"/>
        <v>0.24</v>
      </c>
      <c r="AG101" s="101">
        <f t="shared" si="26"/>
        <v>0.23400000000000001</v>
      </c>
      <c r="AH101" s="101">
        <f t="shared" si="26"/>
        <v>0.246</v>
      </c>
      <c r="AI101" s="101">
        <f t="shared" si="26"/>
        <v>0.153</v>
      </c>
      <c r="AJ101" s="101">
        <f t="shared" si="26"/>
        <v>0.28199999999999997</v>
      </c>
      <c r="AK101" s="101">
        <f t="shared" si="26"/>
        <v>0.26100000000000001</v>
      </c>
      <c r="AL101" s="119">
        <f t="shared" si="26"/>
        <v>0.123</v>
      </c>
    </row>
    <row r="102" spans="1:38">
      <c r="A102" s="118" t="s">
        <v>171</v>
      </c>
      <c r="B102" s="101">
        <f t="shared" ref="B102:AL102" si="27">B35*2</f>
        <v>0.17599999999999999</v>
      </c>
      <c r="C102" s="101">
        <f t="shared" si="27"/>
        <v>0.17599999999999999</v>
      </c>
      <c r="D102" s="101">
        <f t="shared" si="27"/>
        <v>0.17543167179999999</v>
      </c>
      <c r="E102" s="101">
        <f t="shared" si="27"/>
        <v>0.175853381</v>
      </c>
      <c r="F102" s="101">
        <f t="shared" si="27"/>
        <v>0.17599999999999999</v>
      </c>
      <c r="G102" s="101">
        <f t="shared" si="27"/>
        <v>0.17599999999999999</v>
      </c>
      <c r="H102" s="101">
        <f t="shared" si="27"/>
        <v>0.17599999999999999</v>
      </c>
      <c r="I102" s="101">
        <f t="shared" si="27"/>
        <v>0.17599999999999999</v>
      </c>
      <c r="J102" s="101">
        <f t="shared" si="27"/>
        <v>0.17599999999999999</v>
      </c>
      <c r="K102" s="101">
        <f t="shared" si="27"/>
        <v>0.17599999999999999</v>
      </c>
      <c r="L102" s="101">
        <f t="shared" si="27"/>
        <v>0.17599999999999999</v>
      </c>
      <c r="M102" s="101">
        <f t="shared" si="27"/>
        <v>0.17599999999999999</v>
      </c>
      <c r="N102" s="101">
        <f t="shared" si="27"/>
        <v>0.17599999999999999</v>
      </c>
      <c r="O102" s="101">
        <f t="shared" si="27"/>
        <v>0.17599999999999999</v>
      </c>
      <c r="P102" s="101">
        <f t="shared" si="27"/>
        <v>0.17545672979999996</v>
      </c>
      <c r="Q102" s="101">
        <f t="shared" si="27"/>
        <v>0.17641889099999999</v>
      </c>
      <c r="R102" s="101">
        <f t="shared" si="27"/>
        <v>0.17599999999999999</v>
      </c>
      <c r="S102" s="101">
        <f t="shared" si="27"/>
        <v>0.17599999999999999</v>
      </c>
      <c r="T102" s="101">
        <f t="shared" si="27"/>
        <v>0.17599999999999999</v>
      </c>
      <c r="U102" s="101">
        <f t="shared" si="27"/>
        <v>0.17599999999999999</v>
      </c>
      <c r="V102" s="101">
        <f t="shared" si="27"/>
        <v>0.17599999999999999</v>
      </c>
      <c r="W102" s="101">
        <f t="shared" si="27"/>
        <v>0.17599999999999999</v>
      </c>
      <c r="X102" s="101">
        <f t="shared" si="27"/>
        <v>0.17599999999999999</v>
      </c>
      <c r="Y102" s="101">
        <f t="shared" si="27"/>
        <v>0.17599999999999999</v>
      </c>
      <c r="Z102" s="101">
        <f t="shared" si="27"/>
        <v>0.17599999999999999</v>
      </c>
      <c r="AA102" s="101">
        <f t="shared" si="27"/>
        <v>0.17599999999999999</v>
      </c>
      <c r="AB102" s="101">
        <f t="shared" si="27"/>
        <v>0.17646740100000002</v>
      </c>
      <c r="AC102" s="101">
        <f t="shared" si="27"/>
        <v>0.17694700099999999</v>
      </c>
      <c r="AD102" s="101">
        <f t="shared" si="27"/>
        <v>0.17599999999999999</v>
      </c>
      <c r="AE102" s="101">
        <f t="shared" si="27"/>
        <v>0.17599999999999999</v>
      </c>
      <c r="AF102" s="101">
        <f t="shared" si="27"/>
        <v>0.17599999999999999</v>
      </c>
      <c r="AG102" s="101">
        <f t="shared" si="27"/>
        <v>0.17599999999999999</v>
      </c>
      <c r="AH102" s="101">
        <f t="shared" si="27"/>
        <v>0.17599999999999999</v>
      </c>
      <c r="AI102" s="101">
        <f t="shared" si="27"/>
        <v>0.17599999999999999</v>
      </c>
      <c r="AJ102" s="101">
        <f t="shared" si="27"/>
        <v>0.17599999999999999</v>
      </c>
      <c r="AK102" s="101">
        <f t="shared" si="27"/>
        <v>0.17599999999999999</v>
      </c>
      <c r="AL102" s="119">
        <f t="shared" si="27"/>
        <v>0.17599999999999999</v>
      </c>
    </row>
    <row r="103" spans="1:38" ht="20.399999999999999">
      <c r="A103" s="118" t="s">
        <v>172</v>
      </c>
      <c r="B103" s="101">
        <f t="shared" ref="B103:AL103" si="28">B36*2</f>
        <v>8.0000000000000004E-4</v>
      </c>
      <c r="C103" s="101">
        <f t="shared" si="28"/>
        <v>1.7600000000000001E-2</v>
      </c>
      <c r="D103" s="101">
        <f t="shared" si="28"/>
        <v>2.8799999999999999E-2</v>
      </c>
      <c r="E103" s="101">
        <f t="shared" si="28"/>
        <v>4.5999999999999999E-2</v>
      </c>
      <c r="F103" s="101">
        <f t="shared" si="28"/>
        <v>7.6E-3</v>
      </c>
      <c r="G103" s="101">
        <f t="shared" si="28"/>
        <v>7.6E-3</v>
      </c>
      <c r="H103" s="101">
        <f t="shared" si="28"/>
        <v>6.7999999999999996E-3</v>
      </c>
      <c r="I103" s="101">
        <f t="shared" si="28"/>
        <v>8.8000000000000005E-3</v>
      </c>
      <c r="J103" s="101">
        <f t="shared" si="28"/>
        <v>7.1999999999999998E-3</v>
      </c>
      <c r="K103" s="101">
        <f t="shared" si="28"/>
        <v>6.7999999999999996E-3</v>
      </c>
      <c r="L103" s="101">
        <f t="shared" si="28"/>
        <v>1.32E-2</v>
      </c>
      <c r="M103" s="101">
        <f t="shared" si="28"/>
        <v>5.1999999999999998E-3</v>
      </c>
      <c r="N103" s="101">
        <f t="shared" si="28"/>
        <v>0.01</v>
      </c>
      <c r="O103" s="101">
        <f t="shared" si="28"/>
        <v>2.0799999999999999E-2</v>
      </c>
      <c r="P103" s="101">
        <f t="shared" si="28"/>
        <v>5.2400000000000002E-2</v>
      </c>
      <c r="Q103" s="101">
        <f t="shared" si="28"/>
        <v>8.1600000000000006E-2</v>
      </c>
      <c r="R103" s="101">
        <f t="shared" si="28"/>
        <v>8.0000000000000002E-3</v>
      </c>
      <c r="S103" s="101">
        <f t="shared" si="28"/>
        <v>9.1999999999999998E-3</v>
      </c>
      <c r="T103" s="101">
        <f t="shared" si="28"/>
        <v>7.1999999999999998E-3</v>
      </c>
      <c r="U103" s="101">
        <f t="shared" si="28"/>
        <v>1.0800000000000001E-2</v>
      </c>
      <c r="V103" s="101">
        <f t="shared" si="28"/>
        <v>8.8000000000000005E-3</v>
      </c>
      <c r="W103" s="101">
        <f t="shared" si="28"/>
        <v>7.1999999999999998E-3</v>
      </c>
      <c r="X103" s="101">
        <f t="shared" si="28"/>
        <v>2.4E-2</v>
      </c>
      <c r="Y103" s="101">
        <f t="shared" si="28"/>
        <v>5.1999999999999998E-3</v>
      </c>
      <c r="Z103" s="101">
        <f t="shared" si="28"/>
        <v>1.84E-2</v>
      </c>
      <c r="AA103" s="101">
        <f t="shared" si="28"/>
        <v>3.9199999999999999E-2</v>
      </c>
      <c r="AB103" s="101">
        <f t="shared" si="28"/>
        <v>0.114</v>
      </c>
      <c r="AC103" s="101">
        <f t="shared" si="28"/>
        <v>0.1188</v>
      </c>
      <c r="AD103" s="101">
        <f t="shared" si="28"/>
        <v>1.12E-2</v>
      </c>
      <c r="AE103" s="101">
        <f t="shared" si="28"/>
        <v>1.6400000000000001E-2</v>
      </c>
      <c r="AF103" s="101">
        <f t="shared" si="28"/>
        <v>8.8000000000000005E-3</v>
      </c>
      <c r="AG103" s="101">
        <f t="shared" si="28"/>
        <v>0.02</v>
      </c>
      <c r="AH103" s="101">
        <f t="shared" si="28"/>
        <v>1.1599999999999999E-2</v>
      </c>
      <c r="AI103" s="101">
        <f t="shared" si="28"/>
        <v>9.1999999999999998E-3</v>
      </c>
      <c r="AJ103" s="101">
        <f t="shared" si="28"/>
        <v>4.1599999999999998E-2</v>
      </c>
      <c r="AK103" s="101">
        <f t="shared" si="28"/>
        <v>5.1999999999999998E-3</v>
      </c>
      <c r="AL103" s="119">
        <f t="shared" si="28"/>
        <v>5.3199999999999997E-2</v>
      </c>
    </row>
    <row r="104" spans="1:38">
      <c r="A104" s="118" t="s">
        <v>173</v>
      </c>
      <c r="B104" s="101">
        <f t="shared" ref="B104:AL104" si="29">B37*2</f>
        <v>0.46779999999999999</v>
      </c>
      <c r="C104" s="101">
        <f t="shared" si="29"/>
        <v>0.46660000000000001</v>
      </c>
      <c r="D104" s="101">
        <f t="shared" si="29"/>
        <v>0.47723167179999998</v>
      </c>
      <c r="E104" s="101">
        <f t="shared" si="29"/>
        <v>0.49485338100000004</v>
      </c>
      <c r="F104" s="101">
        <f t="shared" si="29"/>
        <v>0.42959999999999998</v>
      </c>
      <c r="G104" s="101">
        <f t="shared" si="29"/>
        <v>0.44159999999999999</v>
      </c>
      <c r="H104" s="101">
        <f t="shared" si="29"/>
        <v>0.41979999999999995</v>
      </c>
      <c r="I104" s="101">
        <f t="shared" si="29"/>
        <v>0.42179999999999995</v>
      </c>
      <c r="J104" s="101">
        <f t="shared" si="29"/>
        <v>0.43519999999999998</v>
      </c>
      <c r="K104" s="101">
        <f t="shared" si="29"/>
        <v>0.35079999999999995</v>
      </c>
      <c r="L104" s="101">
        <f t="shared" si="29"/>
        <v>0.46820000000000001</v>
      </c>
      <c r="M104" s="101">
        <f t="shared" si="29"/>
        <v>0.43919999999999998</v>
      </c>
      <c r="N104" s="101">
        <f t="shared" si="29"/>
        <v>0.39600000000000002</v>
      </c>
      <c r="O104" s="101">
        <f t="shared" si="29"/>
        <v>0.4698</v>
      </c>
      <c r="P104" s="101">
        <f t="shared" si="29"/>
        <v>0.50085672979999996</v>
      </c>
      <c r="Q104" s="101">
        <f t="shared" si="29"/>
        <v>0.53101889099999999</v>
      </c>
      <c r="R104" s="101">
        <f t="shared" si="29"/>
        <v>0.42699999999999999</v>
      </c>
      <c r="S104" s="101">
        <f t="shared" si="29"/>
        <v>0.44319999999999998</v>
      </c>
      <c r="T104" s="101">
        <f t="shared" si="29"/>
        <v>0.42019999999999996</v>
      </c>
      <c r="U104" s="101">
        <f t="shared" si="29"/>
        <v>0.42379999999999995</v>
      </c>
      <c r="V104" s="101">
        <f t="shared" si="29"/>
        <v>0.43679999999999997</v>
      </c>
      <c r="W104" s="101">
        <f t="shared" si="29"/>
        <v>0.34519999999999995</v>
      </c>
      <c r="X104" s="101">
        <f t="shared" si="29"/>
        <v>0.47900000000000004</v>
      </c>
      <c r="Y104" s="101">
        <f t="shared" si="29"/>
        <v>0.43919999999999998</v>
      </c>
      <c r="Z104" s="101">
        <f t="shared" si="29"/>
        <v>0.38939999999999997</v>
      </c>
      <c r="AA104" s="101">
        <f t="shared" si="29"/>
        <v>0.48220000000000002</v>
      </c>
      <c r="AB104" s="101">
        <f t="shared" si="29"/>
        <v>0.55746740100000003</v>
      </c>
      <c r="AC104" s="101">
        <f t="shared" si="29"/>
        <v>0.56274700099999997</v>
      </c>
      <c r="AD104" s="101">
        <f t="shared" si="29"/>
        <v>0.43019999999999997</v>
      </c>
      <c r="AE104" s="101">
        <f t="shared" si="29"/>
        <v>0.45040000000000002</v>
      </c>
      <c r="AF104" s="101">
        <f t="shared" si="29"/>
        <v>0.42479999999999996</v>
      </c>
      <c r="AG104" s="101">
        <f t="shared" si="29"/>
        <v>0.43000000000000005</v>
      </c>
      <c r="AH104" s="101">
        <f t="shared" si="29"/>
        <v>0.43359999999999999</v>
      </c>
      <c r="AI104" s="101">
        <f t="shared" si="29"/>
        <v>0.33819999999999995</v>
      </c>
      <c r="AJ104" s="101">
        <f t="shared" si="29"/>
        <v>0.49959999999999993</v>
      </c>
      <c r="AK104" s="101">
        <f t="shared" si="29"/>
        <v>0.44219999999999998</v>
      </c>
      <c r="AL104" s="119">
        <f t="shared" si="29"/>
        <v>0.35219999999999996</v>
      </c>
    </row>
    <row r="105" spans="1:38">
      <c r="A105" s="118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19"/>
    </row>
    <row r="106" spans="1:38" ht="10.8" thickBot="1">
      <c r="A106" s="129" t="s">
        <v>152</v>
      </c>
      <c r="B106" s="130">
        <f t="shared" ref="B106:AA106" si="30">SUM(B96:B104)</f>
        <v>8.9370579310344844</v>
      </c>
      <c r="C106" s="130">
        <f t="shared" si="30"/>
        <v>17.643700834845735</v>
      </c>
      <c r="D106" s="130">
        <f t="shared" si="30"/>
        <v>26.073495027128008</v>
      </c>
      <c r="E106" s="130">
        <f t="shared" si="30"/>
        <v>38.809217237072815</v>
      </c>
      <c r="F106" s="130">
        <f t="shared" si="30"/>
        <v>20.893542911070778</v>
      </c>
      <c r="G106" s="130">
        <f t="shared" si="30"/>
        <v>21.661906845735025</v>
      </c>
      <c r="H106" s="130">
        <f t="shared" si="30"/>
        <v>20.470951927404712</v>
      </c>
      <c r="I106" s="130">
        <f t="shared" si="30"/>
        <v>24.440863404718691</v>
      </c>
      <c r="J106" s="130">
        <f t="shared" si="30"/>
        <v>20.53355793829401</v>
      </c>
      <c r="K106" s="130">
        <f t="shared" si="30"/>
        <v>18.659431433756801</v>
      </c>
      <c r="L106" s="130">
        <f t="shared" si="30"/>
        <v>24.802037996370231</v>
      </c>
      <c r="M106" s="130">
        <f t="shared" si="30"/>
        <v>18.335270504537203</v>
      </c>
      <c r="N106" s="130">
        <f t="shared" si="30"/>
        <v>23.55220630127042</v>
      </c>
      <c r="O106" s="130">
        <f t="shared" si="30"/>
        <v>19.722833350272232</v>
      </c>
      <c r="P106" s="130">
        <f t="shared" si="30"/>
        <v>34.848578541596538</v>
      </c>
      <c r="Q106" s="130">
        <f t="shared" si="30"/>
        <v>46.733444761673901</v>
      </c>
      <c r="R106" s="130">
        <f t="shared" si="30"/>
        <v>23.605723513611611</v>
      </c>
      <c r="S106" s="130">
        <f t="shared" si="30"/>
        <v>25.574164225045369</v>
      </c>
      <c r="T106" s="130">
        <f t="shared" si="30"/>
        <v>22.31521067150635</v>
      </c>
      <c r="U106" s="130">
        <f t="shared" si="30"/>
        <v>28.351735811252261</v>
      </c>
      <c r="V106" s="130">
        <f t="shared" si="30"/>
        <v>22.929744551724138</v>
      </c>
      <c r="W106" s="130">
        <f t="shared" si="30"/>
        <v>20.84486312885662</v>
      </c>
      <c r="X106" s="130">
        <f t="shared" si="30"/>
        <v>28.317495375680579</v>
      </c>
      <c r="Y106" s="130">
        <f t="shared" si="30"/>
        <v>20.120353292196004</v>
      </c>
      <c r="Z106" s="130">
        <f t="shared" si="30"/>
        <v>27.793579528130667</v>
      </c>
      <c r="AA106" s="130">
        <f t="shared" si="30"/>
        <v>25.532263956442829</v>
      </c>
      <c r="AB106" s="130">
        <f>SUM(AB96:AB104)</f>
        <v>56.476006584206011</v>
      </c>
      <c r="AC106" s="130">
        <f t="shared" ref="AC106:AL106" si="31">SUM(AC96:AC104)</f>
        <v>59.931060939545411</v>
      </c>
      <c r="AD106" s="130">
        <f t="shared" si="31"/>
        <v>29.143003571687835</v>
      </c>
      <c r="AE106" s="130">
        <f t="shared" si="31"/>
        <v>33.259888000000004</v>
      </c>
      <c r="AF106" s="130">
        <f t="shared" si="31"/>
        <v>26.590037996370235</v>
      </c>
      <c r="AG106" s="130">
        <f t="shared" si="31"/>
        <v>34.752570787658804</v>
      </c>
      <c r="AH106" s="130">
        <f t="shared" si="31"/>
        <v>27.685693735027222</v>
      </c>
      <c r="AI106" s="130">
        <f t="shared" si="31"/>
        <v>25.787406301270419</v>
      </c>
      <c r="AJ106" s="130">
        <f t="shared" si="31"/>
        <v>35.789516965517237</v>
      </c>
      <c r="AK106" s="130">
        <f t="shared" si="31"/>
        <v>24.431395644283118</v>
      </c>
      <c r="AL106" s="131">
        <f t="shared" si="31"/>
        <v>38.442556312159709</v>
      </c>
    </row>
    <row r="107" spans="1:38" ht="10.8" thickBot="1">
      <c r="A107" s="103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</row>
    <row r="108" spans="1:38" ht="20.399999999999999">
      <c r="A108" s="115" t="s">
        <v>203</v>
      </c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7"/>
    </row>
    <row r="109" spans="1:38" ht="20.399999999999999">
      <c r="A109" s="118" t="s">
        <v>166</v>
      </c>
      <c r="B109" s="101">
        <f t="shared" ref="B109:AL109" si="32">B29*6</f>
        <v>1.8464573793103449</v>
      </c>
      <c r="C109" s="101">
        <f t="shared" si="32"/>
        <v>3.7172102504537206</v>
      </c>
      <c r="D109" s="101">
        <f t="shared" si="32"/>
        <v>5.4700895050584037</v>
      </c>
      <c r="E109" s="101">
        <f t="shared" si="32"/>
        <v>8.099793142521845</v>
      </c>
      <c r="F109" s="101">
        <f t="shared" si="32"/>
        <v>3.6491828733212337</v>
      </c>
      <c r="G109" s="101">
        <f t="shared" si="32"/>
        <v>3.7074920537205083</v>
      </c>
      <c r="H109" s="101">
        <f t="shared" si="32"/>
        <v>3.6346055782214153</v>
      </c>
      <c r="I109" s="101">
        <f t="shared" si="32"/>
        <v>4.1010790214156083</v>
      </c>
      <c r="J109" s="101">
        <f t="shared" si="32"/>
        <v>3.624887381488203</v>
      </c>
      <c r="K109" s="101">
        <f t="shared" si="32"/>
        <v>3.1827094301270415</v>
      </c>
      <c r="L109" s="101">
        <f t="shared" si="32"/>
        <v>4.4655113989110706</v>
      </c>
      <c r="M109" s="101">
        <f t="shared" si="32"/>
        <v>3.1195411513611617</v>
      </c>
      <c r="N109" s="101">
        <f t="shared" si="32"/>
        <v>4.193401890381125</v>
      </c>
      <c r="O109" s="101">
        <f t="shared" si="32"/>
        <v>4.1496700050816706</v>
      </c>
      <c r="P109" s="101">
        <f t="shared" si="32"/>
        <v>7.3311795245989622</v>
      </c>
      <c r="Q109" s="101">
        <f t="shared" si="32"/>
        <v>9.8260220939021714</v>
      </c>
      <c r="R109" s="101">
        <f t="shared" si="32"/>
        <v>4.0038970540834846</v>
      </c>
      <c r="S109" s="101">
        <f t="shared" si="32"/>
        <v>4.2614292675136118</v>
      </c>
      <c r="T109" s="101">
        <f t="shared" si="32"/>
        <v>3.8629832014519065</v>
      </c>
      <c r="U109" s="101">
        <f t="shared" si="32"/>
        <v>4.6307207433756812</v>
      </c>
      <c r="V109" s="101">
        <f t="shared" si="32"/>
        <v>3.9698833655172416</v>
      </c>
      <c r="W109" s="101">
        <f t="shared" si="32"/>
        <v>3.4548189386569872</v>
      </c>
      <c r="X109" s="101">
        <f t="shared" si="32"/>
        <v>5.0194486127041742</v>
      </c>
      <c r="Y109" s="101">
        <f t="shared" si="32"/>
        <v>3.309045987658803</v>
      </c>
      <c r="Z109" s="101">
        <f t="shared" si="32"/>
        <v>4.8833938584392023</v>
      </c>
      <c r="AA109" s="101">
        <f t="shared" si="32"/>
        <v>5.3935991869328497</v>
      </c>
      <c r="AB109" s="101">
        <f t="shared" si="32"/>
        <v>11.915541534661806</v>
      </c>
      <c r="AC109" s="101">
        <f t="shared" si="32"/>
        <v>12.621170081263624</v>
      </c>
      <c r="AD109" s="101">
        <f t="shared" si="32"/>
        <v>4.8445210715063522</v>
      </c>
      <c r="AE109" s="101">
        <f t="shared" si="32"/>
        <v>5.3547263999999997</v>
      </c>
      <c r="AF109" s="101">
        <f t="shared" si="32"/>
        <v>4.4655113989110706</v>
      </c>
      <c r="AG109" s="101">
        <f t="shared" si="32"/>
        <v>5.5442312362976409</v>
      </c>
      <c r="AH109" s="101">
        <f t="shared" si="32"/>
        <v>4.6987481205081671</v>
      </c>
      <c r="AI109" s="101">
        <f t="shared" si="32"/>
        <v>4.193401890381125</v>
      </c>
      <c r="AJ109" s="101">
        <f t="shared" si="32"/>
        <v>6.2779550896551726</v>
      </c>
      <c r="AK109" s="101">
        <f t="shared" si="32"/>
        <v>3.8872786932849364</v>
      </c>
      <c r="AL109" s="119">
        <f t="shared" si="32"/>
        <v>6.861046893647913</v>
      </c>
    </row>
    <row r="110" spans="1:38" ht="20.399999999999999">
      <c r="A110" s="118" t="s">
        <v>167</v>
      </c>
      <c r="B110" s="101">
        <f t="shared" ref="B110:AL110" si="33">B30*6</f>
        <v>16.618116413793103</v>
      </c>
      <c r="C110" s="101">
        <f t="shared" si="33"/>
        <v>33.454892254083482</v>
      </c>
      <c r="D110" s="101">
        <f t="shared" si="33"/>
        <v>49.230805545525634</v>
      </c>
      <c r="E110" s="101">
        <f t="shared" si="33"/>
        <v>72.898138282696593</v>
      </c>
      <c r="F110" s="101">
        <f t="shared" si="33"/>
        <v>32.842645859891107</v>
      </c>
      <c r="G110" s="101">
        <f t="shared" si="33"/>
        <v>33.367428483484574</v>
      </c>
      <c r="H110" s="101">
        <f t="shared" si="33"/>
        <v>32.71145020399274</v>
      </c>
      <c r="I110" s="101">
        <f t="shared" si="33"/>
        <v>36.909711192740474</v>
      </c>
      <c r="J110" s="101">
        <f t="shared" si="33"/>
        <v>32.623986433393831</v>
      </c>
      <c r="K110" s="101">
        <f t="shared" si="33"/>
        <v>28.644384871143377</v>
      </c>
      <c r="L110" s="101">
        <f t="shared" si="33"/>
        <v>40.189602590199634</v>
      </c>
      <c r="M110" s="101">
        <f t="shared" si="33"/>
        <v>28.075870362250448</v>
      </c>
      <c r="N110" s="101">
        <f t="shared" si="33"/>
        <v>37.740617013430132</v>
      </c>
      <c r="O110" s="101">
        <f t="shared" si="33"/>
        <v>37.347030045735032</v>
      </c>
      <c r="P110" s="101">
        <f t="shared" si="33"/>
        <v>65.980615721390663</v>
      </c>
      <c r="Q110" s="101">
        <f t="shared" si="33"/>
        <v>88.434198845119539</v>
      </c>
      <c r="R110" s="101">
        <f t="shared" si="33"/>
        <v>36.035073486751358</v>
      </c>
      <c r="S110" s="101">
        <f t="shared" si="33"/>
        <v>38.352863407622507</v>
      </c>
      <c r="T110" s="101">
        <f t="shared" si="33"/>
        <v>34.766848813067149</v>
      </c>
      <c r="U110" s="101">
        <f t="shared" si="33"/>
        <v>41.676486690381125</v>
      </c>
      <c r="V110" s="101">
        <f t="shared" si="33"/>
        <v>35.728950289655174</v>
      </c>
      <c r="W110" s="101">
        <f t="shared" si="33"/>
        <v>31.093370447912882</v>
      </c>
      <c r="X110" s="101">
        <f t="shared" si="33"/>
        <v>45.175037514337575</v>
      </c>
      <c r="Y110" s="101">
        <f t="shared" si="33"/>
        <v>29.781413888929222</v>
      </c>
      <c r="Z110" s="101">
        <f t="shared" si="33"/>
        <v>43.950544725952817</v>
      </c>
      <c r="AA110" s="101">
        <f t="shared" si="33"/>
        <v>48.542392682395644</v>
      </c>
      <c r="AB110" s="101">
        <f t="shared" si="33"/>
        <v>107.23987381195627</v>
      </c>
      <c r="AC110" s="101">
        <f t="shared" si="33"/>
        <v>113.59053073137261</v>
      </c>
      <c r="AD110" s="101">
        <f t="shared" si="33"/>
        <v>43.600689643557168</v>
      </c>
      <c r="AE110" s="101">
        <f t="shared" si="33"/>
        <v>48.192537600000009</v>
      </c>
      <c r="AF110" s="101">
        <f t="shared" si="33"/>
        <v>40.189602590199634</v>
      </c>
      <c r="AG110" s="101">
        <f t="shared" si="33"/>
        <v>49.898081126678768</v>
      </c>
      <c r="AH110" s="101">
        <f t="shared" si="33"/>
        <v>42.288733084573508</v>
      </c>
      <c r="AI110" s="101">
        <f t="shared" si="33"/>
        <v>37.740617013430132</v>
      </c>
      <c r="AJ110" s="101">
        <f t="shared" si="33"/>
        <v>56.501595806896553</v>
      </c>
      <c r="AK110" s="101">
        <f t="shared" si="33"/>
        <v>34.985508239564425</v>
      </c>
      <c r="AL110" s="119">
        <f t="shared" si="33"/>
        <v>61.749422042831213</v>
      </c>
    </row>
    <row r="111" spans="1:38">
      <c r="A111" s="118" t="s">
        <v>168</v>
      </c>
      <c r="B111" s="101">
        <f t="shared" ref="B111:AL111" si="34">B31*6</f>
        <v>0.73199999999999998</v>
      </c>
      <c r="C111" s="101">
        <f t="shared" si="34"/>
        <v>0</v>
      </c>
      <c r="D111" s="101">
        <f t="shared" si="34"/>
        <v>0</v>
      </c>
      <c r="E111" s="101">
        <f t="shared" si="34"/>
        <v>0</v>
      </c>
      <c r="F111" s="101">
        <f t="shared" si="34"/>
        <v>10.247999999999999</v>
      </c>
      <c r="G111" s="101">
        <f t="shared" si="34"/>
        <v>11.712</v>
      </c>
      <c r="H111" s="101">
        <f t="shared" si="34"/>
        <v>9.1499999999999986</v>
      </c>
      <c r="I111" s="101">
        <f t="shared" si="34"/>
        <v>14.274000000000001</v>
      </c>
      <c r="J111" s="101">
        <f t="shared" si="34"/>
        <v>9.516</v>
      </c>
      <c r="K111" s="101">
        <f t="shared" si="34"/>
        <v>10.247999999999999</v>
      </c>
      <c r="L111" s="101">
        <f t="shared" si="34"/>
        <v>10.247999999999999</v>
      </c>
      <c r="M111" s="101">
        <f t="shared" si="34"/>
        <v>10.247999999999999</v>
      </c>
      <c r="N111" s="101">
        <f t="shared" si="34"/>
        <v>10.247999999999999</v>
      </c>
      <c r="O111" s="101">
        <f t="shared" si="34"/>
        <v>0</v>
      </c>
      <c r="P111" s="101">
        <f t="shared" si="34"/>
        <v>0</v>
      </c>
      <c r="Q111" s="101">
        <f t="shared" si="34"/>
        <v>0</v>
      </c>
      <c r="R111" s="101">
        <f t="shared" si="34"/>
        <v>13.176000000000002</v>
      </c>
      <c r="S111" s="101">
        <f t="shared" si="34"/>
        <v>15.372</v>
      </c>
      <c r="T111" s="101">
        <f t="shared" si="34"/>
        <v>11.346</v>
      </c>
      <c r="U111" s="101">
        <f t="shared" si="34"/>
        <v>18.299999999999997</v>
      </c>
      <c r="V111" s="101">
        <f t="shared" si="34"/>
        <v>11.712</v>
      </c>
      <c r="W111" s="101">
        <f t="shared" si="34"/>
        <v>12.809999999999999</v>
      </c>
      <c r="X111" s="101">
        <f t="shared" si="34"/>
        <v>13.176000000000002</v>
      </c>
      <c r="Y111" s="101">
        <f t="shared" si="34"/>
        <v>12.809999999999999</v>
      </c>
      <c r="Z111" s="101">
        <f t="shared" si="34"/>
        <v>13.176000000000002</v>
      </c>
      <c r="AA111" s="101">
        <f t="shared" si="34"/>
        <v>0</v>
      </c>
      <c r="AB111" s="101">
        <f t="shared" si="34"/>
        <v>0</v>
      </c>
      <c r="AC111" s="101">
        <f t="shared" si="34"/>
        <v>0</v>
      </c>
      <c r="AD111" s="101">
        <f t="shared" si="34"/>
        <v>17.567999999999998</v>
      </c>
      <c r="AE111" s="101">
        <f t="shared" si="34"/>
        <v>22.692</v>
      </c>
      <c r="AF111" s="101">
        <f t="shared" si="34"/>
        <v>15.372</v>
      </c>
      <c r="AG111" s="101">
        <f t="shared" si="34"/>
        <v>24.521999999999998</v>
      </c>
      <c r="AH111" s="101">
        <f t="shared" si="34"/>
        <v>15.372</v>
      </c>
      <c r="AI111" s="101">
        <f t="shared" si="34"/>
        <v>16.835999999999999</v>
      </c>
      <c r="AJ111" s="101">
        <f t="shared" si="34"/>
        <v>17.933999999999997</v>
      </c>
      <c r="AK111" s="101">
        <f t="shared" si="34"/>
        <v>17.201999999999998</v>
      </c>
      <c r="AL111" s="119">
        <f t="shared" si="34"/>
        <v>17.567999999999998</v>
      </c>
    </row>
    <row r="112" spans="1:38">
      <c r="A112" s="118" t="s">
        <v>169</v>
      </c>
      <c r="B112" s="101">
        <f t="shared" ref="B112:AL112" si="35">B32*6</f>
        <v>1.7328000000000001</v>
      </c>
      <c r="C112" s="101">
        <f t="shared" si="35"/>
        <v>7.2275999999999989</v>
      </c>
      <c r="D112" s="101">
        <f t="shared" si="35"/>
        <v>13.4976</v>
      </c>
      <c r="E112" s="101">
        <f t="shared" si="35"/>
        <v>19.152000000000001</v>
      </c>
      <c r="F112" s="101">
        <f t="shared" si="35"/>
        <v>8.3447999999999993</v>
      </c>
      <c r="G112" s="101">
        <f t="shared" si="35"/>
        <v>8.4816000000000003</v>
      </c>
      <c r="H112" s="101">
        <f t="shared" si="35"/>
        <v>8.5272000000000006</v>
      </c>
      <c r="I112" s="101">
        <f t="shared" si="35"/>
        <v>10.168800000000001</v>
      </c>
      <c r="J112" s="101">
        <f t="shared" si="35"/>
        <v>8.2307999999999986</v>
      </c>
      <c r="K112" s="101">
        <f t="shared" si="35"/>
        <v>6.9768000000000008</v>
      </c>
      <c r="L112" s="101">
        <f t="shared" si="35"/>
        <v>10.716000000000001</v>
      </c>
      <c r="M112" s="101">
        <f t="shared" si="35"/>
        <v>5.8596000000000004</v>
      </c>
      <c r="N112" s="101">
        <f t="shared" si="35"/>
        <v>10.465199999999999</v>
      </c>
      <c r="O112" s="101">
        <f t="shared" si="35"/>
        <v>8.4816000000000003</v>
      </c>
      <c r="P112" s="101">
        <f t="shared" si="35"/>
        <v>18.5364</v>
      </c>
      <c r="Q112" s="101">
        <f t="shared" si="35"/>
        <v>22.321200000000001</v>
      </c>
      <c r="R112" s="101">
        <f t="shared" si="35"/>
        <v>9.8495999999999988</v>
      </c>
      <c r="S112" s="101">
        <f t="shared" si="35"/>
        <v>10.738800000000001</v>
      </c>
      <c r="T112" s="101">
        <f t="shared" si="35"/>
        <v>9.5532000000000004</v>
      </c>
      <c r="U112" s="101">
        <f t="shared" si="35"/>
        <v>12.198</v>
      </c>
      <c r="V112" s="101">
        <f t="shared" si="35"/>
        <v>9.69</v>
      </c>
      <c r="W112" s="101">
        <f t="shared" si="35"/>
        <v>8.1852</v>
      </c>
      <c r="X112" s="101">
        <f t="shared" si="35"/>
        <v>12.312000000000001</v>
      </c>
      <c r="Y112" s="101">
        <f t="shared" si="35"/>
        <v>6.6347999999999994</v>
      </c>
      <c r="Z112" s="101">
        <f t="shared" si="35"/>
        <v>12.54</v>
      </c>
      <c r="AA112" s="101">
        <f t="shared" si="35"/>
        <v>12.289200000000001</v>
      </c>
      <c r="AB112" s="101">
        <f t="shared" si="35"/>
        <v>28.157999999999998</v>
      </c>
      <c r="AC112" s="101">
        <f t="shared" si="35"/>
        <v>28.089600000000004</v>
      </c>
      <c r="AD112" s="101">
        <f t="shared" si="35"/>
        <v>13.2012</v>
      </c>
      <c r="AE112" s="101">
        <f t="shared" si="35"/>
        <v>14.933999999999999</v>
      </c>
      <c r="AF112" s="101">
        <f t="shared" si="35"/>
        <v>11.856</v>
      </c>
      <c r="AG112" s="101">
        <f t="shared" si="35"/>
        <v>15.686399999999999</v>
      </c>
      <c r="AH112" s="101">
        <f t="shared" si="35"/>
        <v>12.585599999999999</v>
      </c>
      <c r="AI112" s="101">
        <f t="shared" si="35"/>
        <v>11.1264</v>
      </c>
      <c r="AJ112" s="101">
        <f t="shared" si="35"/>
        <v>16.302</v>
      </c>
      <c r="AK112" s="101">
        <f t="shared" si="35"/>
        <v>8.6867999999999999</v>
      </c>
      <c r="AL112" s="119">
        <f t="shared" si="35"/>
        <v>18.376800000000003</v>
      </c>
    </row>
    <row r="113" spans="1:38">
      <c r="A113" s="118" t="s">
        <v>170</v>
      </c>
      <c r="B113" s="101">
        <f t="shared" ref="B113:AL113" si="36">B33*6</f>
        <v>3.0749999999999997</v>
      </c>
      <c r="C113" s="101">
        <f t="shared" si="36"/>
        <v>5.7317999999999998</v>
      </c>
      <c r="D113" s="101">
        <f t="shared" si="36"/>
        <v>7.1585999999999999</v>
      </c>
      <c r="E113" s="101">
        <f t="shared" si="36"/>
        <v>13.308600000000002</v>
      </c>
      <c r="F113" s="101">
        <f t="shared" si="36"/>
        <v>5.0183999999999997</v>
      </c>
      <c r="G113" s="101">
        <f t="shared" si="36"/>
        <v>5.0676000000000005</v>
      </c>
      <c r="H113" s="101">
        <f t="shared" si="36"/>
        <v>4.8708</v>
      </c>
      <c r="I113" s="101">
        <f t="shared" si="36"/>
        <v>5.3382000000000005</v>
      </c>
      <c r="J113" s="101">
        <f t="shared" si="36"/>
        <v>4.9938000000000002</v>
      </c>
      <c r="K113" s="101">
        <f t="shared" si="36"/>
        <v>4.8216000000000001</v>
      </c>
      <c r="L113" s="101">
        <f t="shared" si="36"/>
        <v>5.9778000000000002</v>
      </c>
      <c r="M113" s="101">
        <f t="shared" si="36"/>
        <v>5.0676000000000005</v>
      </c>
      <c r="N113" s="101">
        <f t="shared" si="36"/>
        <v>5.6334</v>
      </c>
      <c r="O113" s="101">
        <f t="shared" si="36"/>
        <v>6.3714000000000004</v>
      </c>
      <c r="P113" s="101">
        <f t="shared" si="36"/>
        <v>9.6923999999999992</v>
      </c>
      <c r="Q113" s="101">
        <f t="shared" si="36"/>
        <v>16.4328</v>
      </c>
      <c r="R113" s="101">
        <f t="shared" si="36"/>
        <v>5.1905999999999999</v>
      </c>
      <c r="S113" s="101">
        <f t="shared" si="36"/>
        <v>5.3382000000000005</v>
      </c>
      <c r="T113" s="101">
        <f t="shared" si="36"/>
        <v>4.8953999999999995</v>
      </c>
      <c r="U113" s="101">
        <f t="shared" si="36"/>
        <v>5.7072000000000003</v>
      </c>
      <c r="V113" s="101">
        <f t="shared" si="36"/>
        <v>5.0676000000000005</v>
      </c>
      <c r="W113" s="101">
        <f t="shared" si="36"/>
        <v>4.92</v>
      </c>
      <c r="X113" s="101">
        <f t="shared" si="36"/>
        <v>6.3960000000000008</v>
      </c>
      <c r="Y113" s="101">
        <f t="shared" si="36"/>
        <v>5.1905999999999999</v>
      </c>
      <c r="Z113" s="101">
        <f t="shared" si="36"/>
        <v>6.4944000000000006</v>
      </c>
      <c r="AA113" s="101">
        <f t="shared" si="36"/>
        <v>7.4783999999999997</v>
      </c>
      <c r="AB113" s="101">
        <f t="shared" si="36"/>
        <v>18.7698</v>
      </c>
      <c r="AC113" s="101">
        <f t="shared" si="36"/>
        <v>22.115400000000001</v>
      </c>
      <c r="AD113" s="101">
        <f t="shared" si="36"/>
        <v>5.6334</v>
      </c>
      <c r="AE113" s="101">
        <f t="shared" si="36"/>
        <v>5.9039999999999999</v>
      </c>
      <c r="AF113" s="101">
        <f t="shared" si="36"/>
        <v>5.3382000000000005</v>
      </c>
      <c r="AG113" s="101">
        <f t="shared" si="36"/>
        <v>6.0269999999999992</v>
      </c>
      <c r="AH113" s="101">
        <f t="shared" si="36"/>
        <v>5.5103999999999997</v>
      </c>
      <c r="AI113" s="101">
        <f t="shared" si="36"/>
        <v>5.4366000000000003</v>
      </c>
      <c r="AJ113" s="101">
        <f t="shared" si="36"/>
        <v>7.3553999999999995</v>
      </c>
      <c r="AK113" s="101">
        <f t="shared" si="36"/>
        <v>5.8794000000000004</v>
      </c>
      <c r="AL113" s="119">
        <f t="shared" si="36"/>
        <v>8.6592000000000002</v>
      </c>
    </row>
    <row r="114" spans="1:38">
      <c r="A114" s="118" t="s">
        <v>161</v>
      </c>
      <c r="B114" s="101">
        <f t="shared" ref="B114:AL114" si="37">B34*6</f>
        <v>0.873</v>
      </c>
      <c r="C114" s="101">
        <f t="shared" si="37"/>
        <v>0.81900000000000006</v>
      </c>
      <c r="D114" s="101">
        <f t="shared" si="37"/>
        <v>0.81900000000000006</v>
      </c>
      <c r="E114" s="101">
        <f t="shared" si="37"/>
        <v>0.81900000000000006</v>
      </c>
      <c r="F114" s="101">
        <f t="shared" si="37"/>
        <v>0.73799999999999999</v>
      </c>
      <c r="G114" s="101">
        <f t="shared" si="37"/>
        <v>0.77400000000000002</v>
      </c>
      <c r="H114" s="101">
        <f t="shared" si="37"/>
        <v>0.71099999999999997</v>
      </c>
      <c r="I114" s="101">
        <f t="shared" si="37"/>
        <v>0.71099999999999997</v>
      </c>
      <c r="J114" s="101">
        <f t="shared" si="37"/>
        <v>0.75600000000000001</v>
      </c>
      <c r="K114" s="101">
        <f t="shared" si="37"/>
        <v>0.504</v>
      </c>
      <c r="L114" s="101">
        <f t="shared" si="37"/>
        <v>0.83700000000000008</v>
      </c>
      <c r="M114" s="101">
        <f t="shared" si="37"/>
        <v>0.77400000000000002</v>
      </c>
      <c r="N114" s="101">
        <f t="shared" si="37"/>
        <v>0.63</v>
      </c>
      <c r="O114" s="101">
        <f t="shared" si="37"/>
        <v>0.81900000000000006</v>
      </c>
      <c r="P114" s="101">
        <f t="shared" si="37"/>
        <v>0.81900000000000006</v>
      </c>
      <c r="Q114" s="101">
        <f t="shared" si="37"/>
        <v>0.81900000000000006</v>
      </c>
      <c r="R114" s="101">
        <f t="shared" si="37"/>
        <v>0.72899999999999998</v>
      </c>
      <c r="S114" s="101">
        <f t="shared" si="37"/>
        <v>0.77400000000000002</v>
      </c>
      <c r="T114" s="101">
        <f t="shared" si="37"/>
        <v>0.71099999999999997</v>
      </c>
      <c r="U114" s="101">
        <f t="shared" si="37"/>
        <v>0.71099999999999997</v>
      </c>
      <c r="V114" s="101">
        <f t="shared" si="37"/>
        <v>0.75600000000000001</v>
      </c>
      <c r="W114" s="101">
        <f t="shared" si="37"/>
        <v>0.48599999999999999</v>
      </c>
      <c r="X114" s="101">
        <f t="shared" si="37"/>
        <v>0.83700000000000008</v>
      </c>
      <c r="Y114" s="101">
        <f t="shared" si="37"/>
        <v>0.77400000000000002</v>
      </c>
      <c r="Z114" s="101">
        <f t="shared" si="37"/>
        <v>0.58499999999999996</v>
      </c>
      <c r="AA114" s="101">
        <f t="shared" si="37"/>
        <v>0.80100000000000005</v>
      </c>
      <c r="AB114" s="101">
        <f t="shared" si="37"/>
        <v>0.80100000000000005</v>
      </c>
      <c r="AC114" s="101">
        <f t="shared" si="37"/>
        <v>0.80100000000000005</v>
      </c>
      <c r="AD114" s="101">
        <f t="shared" si="37"/>
        <v>0.72899999999999998</v>
      </c>
      <c r="AE114" s="101">
        <f t="shared" si="37"/>
        <v>0.77400000000000002</v>
      </c>
      <c r="AF114" s="101">
        <f t="shared" si="37"/>
        <v>0.72</v>
      </c>
      <c r="AG114" s="101">
        <f t="shared" si="37"/>
        <v>0.70200000000000007</v>
      </c>
      <c r="AH114" s="101">
        <f t="shared" si="37"/>
        <v>0.73799999999999999</v>
      </c>
      <c r="AI114" s="101">
        <f t="shared" si="37"/>
        <v>0.45899999999999996</v>
      </c>
      <c r="AJ114" s="101">
        <f t="shared" si="37"/>
        <v>0.84599999999999986</v>
      </c>
      <c r="AK114" s="101">
        <f t="shared" si="37"/>
        <v>0.78300000000000003</v>
      </c>
      <c r="AL114" s="119">
        <f t="shared" si="37"/>
        <v>0.36899999999999999</v>
      </c>
    </row>
    <row r="115" spans="1:38">
      <c r="A115" s="118" t="s">
        <v>171</v>
      </c>
      <c r="B115" s="101">
        <f t="shared" ref="B115:AL115" si="38">B35*6</f>
        <v>0.52800000000000002</v>
      </c>
      <c r="C115" s="101">
        <f t="shared" si="38"/>
        <v>0.52800000000000002</v>
      </c>
      <c r="D115" s="101">
        <f t="shared" si="38"/>
        <v>0.52629501540000001</v>
      </c>
      <c r="E115" s="101">
        <f t="shared" si="38"/>
        <v>0.52756014299999998</v>
      </c>
      <c r="F115" s="101">
        <f t="shared" si="38"/>
        <v>0.52800000000000002</v>
      </c>
      <c r="G115" s="101">
        <f t="shared" si="38"/>
        <v>0.52800000000000002</v>
      </c>
      <c r="H115" s="101">
        <f t="shared" si="38"/>
        <v>0.52800000000000002</v>
      </c>
      <c r="I115" s="101">
        <f t="shared" si="38"/>
        <v>0.52800000000000002</v>
      </c>
      <c r="J115" s="101">
        <f t="shared" si="38"/>
        <v>0.52800000000000002</v>
      </c>
      <c r="K115" s="101">
        <f t="shared" si="38"/>
        <v>0.52800000000000002</v>
      </c>
      <c r="L115" s="101">
        <f t="shared" si="38"/>
        <v>0.52800000000000002</v>
      </c>
      <c r="M115" s="101">
        <f t="shared" si="38"/>
        <v>0.52800000000000002</v>
      </c>
      <c r="N115" s="101">
        <f t="shared" si="38"/>
        <v>0.52800000000000002</v>
      </c>
      <c r="O115" s="101">
        <f t="shared" si="38"/>
        <v>0.52800000000000002</v>
      </c>
      <c r="P115" s="101">
        <f t="shared" si="38"/>
        <v>0.52637018939999991</v>
      </c>
      <c r="Q115" s="101">
        <f t="shared" si="38"/>
        <v>0.52925667300000001</v>
      </c>
      <c r="R115" s="101">
        <f t="shared" si="38"/>
        <v>0.52800000000000002</v>
      </c>
      <c r="S115" s="101">
        <f t="shared" si="38"/>
        <v>0.52800000000000002</v>
      </c>
      <c r="T115" s="101">
        <f t="shared" si="38"/>
        <v>0.52800000000000002</v>
      </c>
      <c r="U115" s="101">
        <f t="shared" si="38"/>
        <v>0.52800000000000002</v>
      </c>
      <c r="V115" s="101">
        <f t="shared" si="38"/>
        <v>0.52800000000000002</v>
      </c>
      <c r="W115" s="101">
        <f t="shared" si="38"/>
        <v>0.52800000000000002</v>
      </c>
      <c r="X115" s="101">
        <f t="shared" si="38"/>
        <v>0.52800000000000002</v>
      </c>
      <c r="Y115" s="101">
        <f t="shared" si="38"/>
        <v>0.52800000000000002</v>
      </c>
      <c r="Z115" s="101">
        <f t="shared" si="38"/>
        <v>0.52800000000000002</v>
      </c>
      <c r="AA115" s="101">
        <f t="shared" si="38"/>
        <v>0.52800000000000002</v>
      </c>
      <c r="AB115" s="101">
        <f t="shared" si="38"/>
        <v>0.52940220300000007</v>
      </c>
      <c r="AC115" s="101">
        <f t="shared" si="38"/>
        <v>0.53084100299999992</v>
      </c>
      <c r="AD115" s="101">
        <f t="shared" si="38"/>
        <v>0.52800000000000002</v>
      </c>
      <c r="AE115" s="101">
        <f t="shared" si="38"/>
        <v>0.52800000000000002</v>
      </c>
      <c r="AF115" s="101">
        <f t="shared" si="38"/>
        <v>0.52800000000000002</v>
      </c>
      <c r="AG115" s="101">
        <f t="shared" si="38"/>
        <v>0.52800000000000002</v>
      </c>
      <c r="AH115" s="101">
        <f t="shared" si="38"/>
        <v>0.52800000000000002</v>
      </c>
      <c r="AI115" s="101">
        <f t="shared" si="38"/>
        <v>0.52800000000000002</v>
      </c>
      <c r="AJ115" s="101">
        <f t="shared" si="38"/>
        <v>0.52800000000000002</v>
      </c>
      <c r="AK115" s="101">
        <f t="shared" si="38"/>
        <v>0.52800000000000002</v>
      </c>
      <c r="AL115" s="119">
        <f t="shared" si="38"/>
        <v>0.52800000000000002</v>
      </c>
    </row>
    <row r="116" spans="1:38" ht="20.399999999999999">
      <c r="A116" s="118" t="s">
        <v>172</v>
      </c>
      <c r="B116" s="101">
        <f t="shared" ref="B116:AL116" si="39">B36*6</f>
        <v>2.4000000000000002E-3</v>
      </c>
      <c r="C116" s="101">
        <f t="shared" si="39"/>
        <v>5.28E-2</v>
      </c>
      <c r="D116" s="101">
        <f t="shared" si="39"/>
        <v>8.6400000000000005E-2</v>
      </c>
      <c r="E116" s="101">
        <f t="shared" si="39"/>
        <v>0.13800000000000001</v>
      </c>
      <c r="F116" s="101">
        <f t="shared" si="39"/>
        <v>2.2800000000000001E-2</v>
      </c>
      <c r="G116" s="101">
        <f t="shared" si="39"/>
        <v>2.2800000000000001E-2</v>
      </c>
      <c r="H116" s="101">
        <f t="shared" si="39"/>
        <v>2.0399999999999998E-2</v>
      </c>
      <c r="I116" s="101">
        <f t="shared" si="39"/>
        <v>2.64E-2</v>
      </c>
      <c r="J116" s="101">
        <f t="shared" si="39"/>
        <v>2.1600000000000001E-2</v>
      </c>
      <c r="K116" s="101">
        <f t="shared" si="39"/>
        <v>2.0399999999999998E-2</v>
      </c>
      <c r="L116" s="101">
        <f t="shared" si="39"/>
        <v>3.9599999999999996E-2</v>
      </c>
      <c r="M116" s="101">
        <f t="shared" si="39"/>
        <v>1.5599999999999999E-2</v>
      </c>
      <c r="N116" s="101">
        <f t="shared" si="39"/>
        <v>0.03</v>
      </c>
      <c r="O116" s="101">
        <f t="shared" si="39"/>
        <v>6.2399999999999997E-2</v>
      </c>
      <c r="P116" s="101">
        <f t="shared" si="39"/>
        <v>0.15720000000000001</v>
      </c>
      <c r="Q116" s="101">
        <f t="shared" si="39"/>
        <v>0.24480000000000002</v>
      </c>
      <c r="R116" s="101">
        <f t="shared" si="39"/>
        <v>2.4E-2</v>
      </c>
      <c r="S116" s="101">
        <f t="shared" si="39"/>
        <v>2.76E-2</v>
      </c>
      <c r="T116" s="101">
        <f t="shared" si="39"/>
        <v>2.1600000000000001E-2</v>
      </c>
      <c r="U116" s="101">
        <f t="shared" si="39"/>
        <v>3.2399999999999998E-2</v>
      </c>
      <c r="V116" s="101">
        <f t="shared" si="39"/>
        <v>2.64E-2</v>
      </c>
      <c r="W116" s="101">
        <f t="shared" si="39"/>
        <v>2.1600000000000001E-2</v>
      </c>
      <c r="X116" s="101">
        <f t="shared" si="39"/>
        <v>7.2000000000000008E-2</v>
      </c>
      <c r="Y116" s="101">
        <f t="shared" si="39"/>
        <v>1.5599999999999999E-2</v>
      </c>
      <c r="Z116" s="101">
        <f t="shared" si="39"/>
        <v>5.5199999999999999E-2</v>
      </c>
      <c r="AA116" s="101">
        <f t="shared" si="39"/>
        <v>0.1176</v>
      </c>
      <c r="AB116" s="101">
        <f t="shared" si="39"/>
        <v>0.34200000000000003</v>
      </c>
      <c r="AC116" s="101">
        <f t="shared" si="39"/>
        <v>0.35639999999999999</v>
      </c>
      <c r="AD116" s="101">
        <f t="shared" si="39"/>
        <v>3.3599999999999998E-2</v>
      </c>
      <c r="AE116" s="101">
        <f t="shared" si="39"/>
        <v>4.9200000000000008E-2</v>
      </c>
      <c r="AF116" s="101">
        <f t="shared" si="39"/>
        <v>2.64E-2</v>
      </c>
      <c r="AG116" s="101">
        <f t="shared" si="39"/>
        <v>0.06</v>
      </c>
      <c r="AH116" s="101">
        <f t="shared" si="39"/>
        <v>3.4799999999999998E-2</v>
      </c>
      <c r="AI116" s="101">
        <f t="shared" si="39"/>
        <v>2.76E-2</v>
      </c>
      <c r="AJ116" s="101">
        <f t="shared" si="39"/>
        <v>0.12479999999999999</v>
      </c>
      <c r="AK116" s="101">
        <f t="shared" si="39"/>
        <v>1.5599999999999999E-2</v>
      </c>
      <c r="AL116" s="119">
        <f t="shared" si="39"/>
        <v>0.15959999999999999</v>
      </c>
    </row>
    <row r="117" spans="1:38">
      <c r="A117" s="118" t="s">
        <v>173</v>
      </c>
      <c r="B117" s="101">
        <f t="shared" ref="B117:AL117" si="40">B37*6</f>
        <v>1.4034</v>
      </c>
      <c r="C117" s="101">
        <f t="shared" si="40"/>
        <v>1.3997999999999999</v>
      </c>
      <c r="D117" s="101">
        <f t="shared" si="40"/>
        <v>1.4316950153999999</v>
      </c>
      <c r="E117" s="101">
        <f t="shared" si="40"/>
        <v>1.4845601430000002</v>
      </c>
      <c r="F117" s="101">
        <f t="shared" si="40"/>
        <v>1.2887999999999999</v>
      </c>
      <c r="G117" s="101">
        <f t="shared" si="40"/>
        <v>1.3248</v>
      </c>
      <c r="H117" s="101">
        <f t="shared" si="40"/>
        <v>1.2593999999999999</v>
      </c>
      <c r="I117" s="101">
        <f t="shared" si="40"/>
        <v>1.2653999999999999</v>
      </c>
      <c r="J117" s="101">
        <f t="shared" si="40"/>
        <v>1.3055999999999999</v>
      </c>
      <c r="K117" s="101">
        <f t="shared" si="40"/>
        <v>1.0523999999999998</v>
      </c>
      <c r="L117" s="101">
        <f t="shared" si="40"/>
        <v>1.4046000000000001</v>
      </c>
      <c r="M117" s="101">
        <f t="shared" si="40"/>
        <v>1.3175999999999999</v>
      </c>
      <c r="N117" s="101">
        <f t="shared" si="40"/>
        <v>1.1880000000000002</v>
      </c>
      <c r="O117" s="101">
        <f t="shared" si="40"/>
        <v>1.4094</v>
      </c>
      <c r="P117" s="101">
        <f t="shared" si="40"/>
        <v>1.5025701893999999</v>
      </c>
      <c r="Q117" s="101">
        <f t="shared" si="40"/>
        <v>1.593056673</v>
      </c>
      <c r="R117" s="101">
        <f t="shared" si="40"/>
        <v>1.2809999999999999</v>
      </c>
      <c r="S117" s="101">
        <f t="shared" si="40"/>
        <v>1.3295999999999999</v>
      </c>
      <c r="T117" s="101">
        <f t="shared" si="40"/>
        <v>1.2605999999999999</v>
      </c>
      <c r="U117" s="101">
        <f t="shared" si="40"/>
        <v>1.2713999999999999</v>
      </c>
      <c r="V117" s="101">
        <f t="shared" si="40"/>
        <v>1.3104</v>
      </c>
      <c r="W117" s="101">
        <f t="shared" si="40"/>
        <v>1.0355999999999999</v>
      </c>
      <c r="X117" s="101">
        <f t="shared" si="40"/>
        <v>1.4370000000000001</v>
      </c>
      <c r="Y117" s="101">
        <f t="shared" si="40"/>
        <v>1.3175999999999999</v>
      </c>
      <c r="Z117" s="101">
        <f t="shared" si="40"/>
        <v>1.1681999999999999</v>
      </c>
      <c r="AA117" s="101">
        <f t="shared" si="40"/>
        <v>1.4466000000000001</v>
      </c>
      <c r="AB117" s="101">
        <f t="shared" si="40"/>
        <v>1.6724022030000001</v>
      </c>
      <c r="AC117" s="101">
        <f t="shared" si="40"/>
        <v>1.6882410029999999</v>
      </c>
      <c r="AD117" s="101">
        <f t="shared" si="40"/>
        <v>1.2906</v>
      </c>
      <c r="AE117" s="101">
        <f t="shared" si="40"/>
        <v>1.3512</v>
      </c>
      <c r="AF117" s="101">
        <f t="shared" si="40"/>
        <v>1.2744</v>
      </c>
      <c r="AG117" s="101">
        <f t="shared" si="40"/>
        <v>1.29</v>
      </c>
      <c r="AH117" s="101">
        <f t="shared" si="40"/>
        <v>1.3008</v>
      </c>
      <c r="AI117" s="101">
        <f t="shared" si="40"/>
        <v>1.0145999999999997</v>
      </c>
      <c r="AJ117" s="101">
        <f t="shared" si="40"/>
        <v>1.4987999999999997</v>
      </c>
      <c r="AK117" s="101">
        <f t="shared" si="40"/>
        <v>1.3266</v>
      </c>
      <c r="AL117" s="119">
        <f t="shared" si="40"/>
        <v>1.0566</v>
      </c>
    </row>
    <row r="118" spans="1:38">
      <c r="A118" s="120"/>
      <c r="AL118" s="121"/>
    </row>
    <row r="119" spans="1:38" ht="10.8" thickBot="1">
      <c r="A119" s="122" t="s">
        <v>246</v>
      </c>
      <c r="B119" s="123">
        <f t="shared" ref="B119:AA119" si="41">SUM(B109:B117)</f>
        <v>26.81117379310345</v>
      </c>
      <c r="C119" s="123">
        <f t="shared" si="41"/>
        <v>52.931102504537201</v>
      </c>
      <c r="D119" s="123">
        <f t="shared" si="41"/>
        <v>78.220485081384027</v>
      </c>
      <c r="E119" s="123">
        <f t="shared" si="41"/>
        <v>116.42765171121845</v>
      </c>
      <c r="F119" s="123">
        <f t="shared" si="41"/>
        <v>62.680628733212338</v>
      </c>
      <c r="G119" s="123">
        <f t="shared" si="41"/>
        <v>64.985720537205069</v>
      </c>
      <c r="H119" s="123">
        <f t="shared" si="41"/>
        <v>61.412855782214159</v>
      </c>
      <c r="I119" s="123">
        <f t="shared" si="41"/>
        <v>73.322590214156079</v>
      </c>
      <c r="J119" s="123">
        <f t="shared" si="41"/>
        <v>61.600673814882022</v>
      </c>
      <c r="K119" s="123">
        <f t="shared" si="41"/>
        <v>55.978294301270424</v>
      </c>
      <c r="L119" s="123">
        <f t="shared" si="41"/>
        <v>74.406113989110708</v>
      </c>
      <c r="M119" s="123">
        <f t="shared" si="41"/>
        <v>55.005811513611604</v>
      </c>
      <c r="N119" s="123">
        <f t="shared" si="41"/>
        <v>70.65661890381125</v>
      </c>
      <c r="O119" s="123">
        <f t="shared" si="41"/>
        <v>59.168500050816697</v>
      </c>
      <c r="P119" s="123">
        <f t="shared" si="41"/>
        <v>104.54573562478964</v>
      </c>
      <c r="Q119" s="123">
        <f t="shared" si="41"/>
        <v>140.20033428502168</v>
      </c>
      <c r="R119" s="123">
        <f t="shared" si="41"/>
        <v>70.817170540834852</v>
      </c>
      <c r="S119" s="123">
        <f t="shared" si="41"/>
        <v>76.722492675136138</v>
      </c>
      <c r="T119" s="123">
        <f t="shared" si="41"/>
        <v>66.945632014519063</v>
      </c>
      <c r="U119" s="123">
        <f t="shared" si="41"/>
        <v>85.055207433756806</v>
      </c>
      <c r="V119" s="123">
        <f t="shared" si="41"/>
        <v>68.78923365517241</v>
      </c>
      <c r="W119" s="123">
        <f t="shared" si="41"/>
        <v>62.534589386569863</v>
      </c>
      <c r="X119" s="123">
        <f t="shared" si="41"/>
        <v>84.952486127041766</v>
      </c>
      <c r="Y119" s="123">
        <f t="shared" si="41"/>
        <v>60.36105987658803</v>
      </c>
      <c r="Z119" s="123">
        <f t="shared" si="41"/>
        <v>83.380738584392006</v>
      </c>
      <c r="AA119" s="123">
        <f t="shared" si="41"/>
        <v>76.596791869328484</v>
      </c>
      <c r="AB119" s="123">
        <f>SUM(AB109:AB117)</f>
        <v>169.42801975261804</v>
      </c>
      <c r="AC119" s="123">
        <f t="shared" ref="AC119:AL119" si="42">SUM(AC109:AC117)</f>
        <v>179.79318281863624</v>
      </c>
      <c r="AD119" s="123">
        <f t="shared" si="42"/>
        <v>87.429010715063512</v>
      </c>
      <c r="AE119" s="123">
        <f t="shared" si="42"/>
        <v>99.779664000000011</v>
      </c>
      <c r="AF119" s="123">
        <f t="shared" si="42"/>
        <v>79.770113989110698</v>
      </c>
      <c r="AG119" s="123">
        <f t="shared" si="42"/>
        <v>104.25771236297642</v>
      </c>
      <c r="AH119" s="123">
        <f t="shared" si="42"/>
        <v>83.057081205081687</v>
      </c>
      <c r="AI119" s="123">
        <f t="shared" si="42"/>
        <v>77.362218903811268</v>
      </c>
      <c r="AJ119" s="123">
        <f t="shared" si="42"/>
        <v>107.36855089655174</v>
      </c>
      <c r="AK119" s="123">
        <f t="shared" si="42"/>
        <v>73.294186932849371</v>
      </c>
      <c r="AL119" s="124">
        <f t="shared" si="42"/>
        <v>115.32766893647913</v>
      </c>
    </row>
  </sheetData>
  <mergeCells count="13">
    <mergeCell ref="A1:B1"/>
    <mergeCell ref="C94:N94"/>
    <mergeCell ref="O94:Z94"/>
    <mergeCell ref="AA94:AL94"/>
    <mergeCell ref="C2:N2"/>
    <mergeCell ref="O2:Z2"/>
    <mergeCell ref="AA2:AL2"/>
    <mergeCell ref="C27:N27"/>
    <mergeCell ref="O27:Z27"/>
    <mergeCell ref="AA27:AL27"/>
    <mergeCell ref="B44:C44"/>
    <mergeCell ref="D44:E44"/>
    <mergeCell ref="F44:G44"/>
  </mergeCells>
  <hyperlinks>
    <hyperlink ref="D18" r:id="rId1" xr:uid="{7B3B3B21-EAA8-4334-80EB-CE872C74993A}"/>
    <hyperlink ref="D19" r:id="rId2" xr:uid="{F08CFFE9-0CC3-495B-AF6C-1131C1CE5B8D}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039F-E70F-48F4-8713-093C4CC064B6}">
  <dimension ref="A1:V55"/>
  <sheetViews>
    <sheetView zoomScale="75" zoomScaleNormal="85" workbookViewId="0">
      <selection activeCell="F4" sqref="F4:N5"/>
    </sheetView>
  </sheetViews>
  <sheetFormatPr defaultColWidth="9.109375" defaultRowHeight="13.8"/>
  <cols>
    <col min="1" max="1" width="9.109375" style="239"/>
    <col min="2" max="2" width="19.5546875" style="239" customWidth="1"/>
    <col min="3" max="5" width="9.109375" style="239"/>
    <col min="6" max="6" width="11.77734375" style="239" customWidth="1"/>
    <col min="7" max="16384" width="9.109375" style="239"/>
  </cols>
  <sheetData>
    <row r="1" spans="1:14" ht="73.8" customHeight="1">
      <c r="A1" s="179" t="s">
        <v>296</v>
      </c>
      <c r="B1" s="180"/>
    </row>
    <row r="3" spans="1:14">
      <c r="A3" s="238" t="s">
        <v>272</v>
      </c>
      <c r="B3" s="238" t="s">
        <v>273</v>
      </c>
      <c r="C3" s="238" t="s">
        <v>274</v>
      </c>
      <c r="D3" s="238" t="s">
        <v>275</v>
      </c>
      <c r="F3" s="250" t="s">
        <v>58</v>
      </c>
      <c r="G3" s="251"/>
      <c r="H3" s="251"/>
      <c r="I3" s="251"/>
      <c r="J3" s="251"/>
      <c r="K3" s="251"/>
      <c r="L3" s="251"/>
      <c r="M3" s="251"/>
      <c r="N3" s="251"/>
    </row>
    <row r="4" spans="1:14">
      <c r="A4" s="238">
        <v>2016</v>
      </c>
      <c r="B4" s="238">
        <v>0.68774397244546526</v>
      </c>
      <c r="C4" s="253">
        <v>2.3039423076923078</v>
      </c>
      <c r="D4" s="238">
        <f>B4*$B$21</f>
        <v>60.177597588978209</v>
      </c>
      <c r="F4" s="260" t="s">
        <v>297</v>
      </c>
      <c r="G4" s="261"/>
      <c r="H4" s="260" t="s">
        <v>298</v>
      </c>
      <c r="I4" s="261"/>
      <c r="J4" s="260" t="s">
        <v>299</v>
      </c>
      <c r="K4" s="261"/>
      <c r="L4" s="260" t="s">
        <v>300</v>
      </c>
      <c r="M4" s="261"/>
      <c r="N4" s="262"/>
    </row>
    <row r="5" spans="1:14" ht="41.4">
      <c r="A5" s="238">
        <v>2020</v>
      </c>
      <c r="B5" s="238">
        <v>0.76143513203214697</v>
      </c>
      <c r="C5" s="253">
        <v>2.5508076923076928</v>
      </c>
      <c r="D5" s="238">
        <f>B5*$B$21</f>
        <v>66.625574052812865</v>
      </c>
      <c r="F5" s="259" t="s">
        <v>276</v>
      </c>
      <c r="G5" s="259" t="s">
        <v>277</v>
      </c>
      <c r="H5" s="259" t="s">
        <v>285</v>
      </c>
      <c r="I5" s="259" t="s">
        <v>277</v>
      </c>
      <c r="J5" s="259" t="s">
        <v>285</v>
      </c>
      <c r="K5" s="259" t="s">
        <v>277</v>
      </c>
      <c r="L5" s="259" t="s">
        <v>285</v>
      </c>
      <c r="M5" s="259" t="s">
        <v>277</v>
      </c>
      <c r="N5" s="263" t="s">
        <v>55</v>
      </c>
    </row>
    <row r="6" spans="1:14">
      <c r="A6" s="238">
        <v>2017</v>
      </c>
      <c r="B6" s="238">
        <v>0.79105625717566019</v>
      </c>
      <c r="C6" s="253">
        <v>2.650038461538462</v>
      </c>
      <c r="D6" s="238">
        <f t="shared" ref="D6:D16" si="0">B6*$B$21</f>
        <v>69.217422502870264</v>
      </c>
      <c r="F6" s="245">
        <v>2.3039423076923078</v>
      </c>
      <c r="G6" s="238">
        <f>F6*$B$21/$B$26</f>
        <v>1.9199519230769231</v>
      </c>
      <c r="H6" s="245">
        <v>2.3039423076923078</v>
      </c>
      <c r="I6" s="238">
        <f>(0.06*($C$21-$C$25)+H6*$B$21)/$B$26</f>
        <v>2.0504376373626374</v>
      </c>
      <c r="J6" s="245">
        <v>2.3039423076923078</v>
      </c>
      <c r="K6" s="238">
        <f>(0.1*($C$21-$C$25)+H6*$B$21)/$B$26</f>
        <v>2.1374281135531139</v>
      </c>
      <c r="L6" s="245">
        <v>2.3039423076923078</v>
      </c>
      <c r="M6" s="238">
        <f>(0.25*($C$21-$C$25)+H6*$B$21)/$B$26</f>
        <v>2.4636423992673993</v>
      </c>
      <c r="N6" s="238">
        <f>1000*M6/33.33</f>
        <v>73.916663644386432</v>
      </c>
    </row>
    <row r="7" spans="1:14">
      <c r="A7" s="238">
        <v>2015</v>
      </c>
      <c r="B7" s="238">
        <v>0.8079506314580942</v>
      </c>
      <c r="C7" s="253">
        <v>2.7066346153846146</v>
      </c>
      <c r="D7" s="238">
        <f t="shared" si="0"/>
        <v>70.695680252583244</v>
      </c>
      <c r="F7" s="245">
        <f>F6+0.2</f>
        <v>2.503942307692308</v>
      </c>
      <c r="G7" s="238">
        <f t="shared" ref="G7:G21" si="1">F7*$B$21/$B$26</f>
        <v>2.08661858974359</v>
      </c>
      <c r="H7" s="245">
        <f>H6+0.2</f>
        <v>2.503942307692308</v>
      </c>
      <c r="I7" s="238">
        <f t="shared" ref="I7:I21" si="2">(0.06*($C$21-$C$25)+H7*$B$21)/$B$26</f>
        <v>2.2171043040293039</v>
      </c>
      <c r="J7" s="245">
        <f>J6+0.2</f>
        <v>2.503942307692308</v>
      </c>
      <c r="K7" s="238">
        <f t="shared" ref="K7:K21" si="3">(0.1*($C$21-$C$25)+H7*$B$21)/$B$26</f>
        <v>2.3040947802197804</v>
      </c>
      <c r="L7" s="245">
        <f>L6+0.2</f>
        <v>2.503942307692308</v>
      </c>
      <c r="M7" s="238">
        <f t="shared" ref="M7:M21" si="4">(0.25*($C$21-$C$25)+H7*$B$21)/$B$26</f>
        <v>2.6303090659340662</v>
      </c>
      <c r="N7" s="238">
        <f t="shared" ref="N7:N21" si="5">1000*M7/33.33</f>
        <v>78.917163694391434</v>
      </c>
    </row>
    <row r="8" spans="1:14">
      <c r="A8" s="238">
        <v>2010</v>
      </c>
      <c r="B8" s="238">
        <v>0.89300229621125138</v>
      </c>
      <c r="C8" s="253">
        <v>2.9915576923076923</v>
      </c>
      <c r="D8" s="238">
        <f t="shared" si="0"/>
        <v>78.137700918484498</v>
      </c>
      <c r="F8" s="245">
        <f t="shared" ref="F8:F21" si="6">F7+0.2</f>
        <v>2.7039423076923081</v>
      </c>
      <c r="G8" s="238">
        <f t="shared" si="1"/>
        <v>2.2532852564102566</v>
      </c>
      <c r="H8" s="245">
        <f t="shared" ref="H8:H21" si="7">H7+0.2</f>
        <v>2.7039423076923081</v>
      </c>
      <c r="I8" s="238">
        <f t="shared" si="2"/>
        <v>2.3837709706959709</v>
      </c>
      <c r="J8" s="245">
        <f t="shared" ref="J8:J21" si="8">J7+0.2</f>
        <v>2.7039423076923081</v>
      </c>
      <c r="K8" s="238">
        <f t="shared" si="3"/>
        <v>2.4707614468864469</v>
      </c>
      <c r="L8" s="245">
        <f t="shared" ref="L8:L21" si="9">L7+0.2</f>
        <v>2.7039423076923081</v>
      </c>
      <c r="M8" s="238">
        <f t="shared" si="4"/>
        <v>2.7969757326007332</v>
      </c>
      <c r="N8" s="238">
        <f t="shared" si="5"/>
        <v>83.917663744396435</v>
      </c>
    </row>
    <row r="9" spans="1:14">
      <c r="A9" s="238">
        <v>2019</v>
      </c>
      <c r="B9" s="238">
        <v>0.91218714121699196</v>
      </c>
      <c r="C9" s="253">
        <v>3.0558269230769235</v>
      </c>
      <c r="D9" s="238">
        <f t="shared" si="0"/>
        <v>79.816374856486803</v>
      </c>
      <c r="F9" s="245">
        <f t="shared" si="6"/>
        <v>2.9039423076923083</v>
      </c>
      <c r="G9" s="238">
        <f t="shared" si="1"/>
        <v>2.4199519230769235</v>
      </c>
      <c r="H9" s="245">
        <f t="shared" si="7"/>
        <v>2.9039423076923083</v>
      </c>
      <c r="I9" s="238">
        <f t="shared" si="2"/>
        <v>2.5504376373626378</v>
      </c>
      <c r="J9" s="245">
        <f t="shared" si="8"/>
        <v>2.9039423076923083</v>
      </c>
      <c r="K9" s="238">
        <f t="shared" si="3"/>
        <v>2.6374281135531144</v>
      </c>
      <c r="L9" s="245">
        <f t="shared" si="9"/>
        <v>2.9039423076923083</v>
      </c>
      <c r="M9" s="238">
        <f t="shared" si="4"/>
        <v>2.9636423992674001</v>
      </c>
      <c r="N9" s="238">
        <f t="shared" si="5"/>
        <v>88.918163794401437</v>
      </c>
    </row>
    <row r="10" spans="1:14">
      <c r="A10" s="238">
        <v>2018</v>
      </c>
      <c r="B10" s="238">
        <v>0.94854970430864538</v>
      </c>
      <c r="C10" s="253">
        <v>3.1776415094339621</v>
      </c>
      <c r="D10" s="238">
        <f t="shared" si="0"/>
        <v>82.998099127006469</v>
      </c>
      <c r="F10" s="245">
        <f t="shared" si="6"/>
        <v>3.1039423076923085</v>
      </c>
      <c r="G10" s="238">
        <f t="shared" si="1"/>
        <v>2.5866185897435905</v>
      </c>
      <c r="H10" s="245">
        <f t="shared" si="7"/>
        <v>3.1039423076923085</v>
      </c>
      <c r="I10" s="238">
        <f t="shared" si="2"/>
        <v>2.7171043040293053</v>
      </c>
      <c r="J10" s="245">
        <f t="shared" si="8"/>
        <v>3.1039423076923085</v>
      </c>
      <c r="K10" s="238">
        <f t="shared" si="3"/>
        <v>2.8040947802197809</v>
      </c>
      <c r="L10" s="245">
        <f t="shared" si="9"/>
        <v>3.1039423076923085</v>
      </c>
      <c r="M10" s="238">
        <f t="shared" si="4"/>
        <v>3.1303090659340667</v>
      </c>
      <c r="N10" s="238">
        <f t="shared" si="5"/>
        <v>93.918663844406439</v>
      </c>
    </row>
    <row r="11" spans="1:14">
      <c r="A11" s="238">
        <v>2021</v>
      </c>
      <c r="B11" s="238">
        <v>0.98111940298507438</v>
      </c>
      <c r="C11" s="253">
        <v>3.2867500000000005</v>
      </c>
      <c r="D11" s="238">
        <f t="shared" si="0"/>
        <v>85.847947761194007</v>
      </c>
      <c r="F11" s="245">
        <f t="shared" si="6"/>
        <v>3.3039423076923087</v>
      </c>
      <c r="G11" s="238">
        <f t="shared" si="1"/>
        <v>2.7532852564102575</v>
      </c>
      <c r="H11" s="245">
        <f t="shared" si="7"/>
        <v>3.3039423076923087</v>
      </c>
      <c r="I11" s="238">
        <f t="shared" si="2"/>
        <v>2.8837709706959718</v>
      </c>
      <c r="J11" s="245">
        <f t="shared" si="8"/>
        <v>3.3039423076923087</v>
      </c>
      <c r="K11" s="238">
        <f t="shared" si="3"/>
        <v>2.9707614468864474</v>
      </c>
      <c r="L11" s="245">
        <f t="shared" si="9"/>
        <v>3.3039423076923087</v>
      </c>
      <c r="M11" s="238">
        <f t="shared" si="4"/>
        <v>3.2969757326007332</v>
      </c>
      <c r="N11" s="238">
        <f t="shared" si="5"/>
        <v>98.91916389441144</v>
      </c>
    </row>
    <row r="12" spans="1:14">
      <c r="A12" s="238">
        <v>2014</v>
      </c>
      <c r="B12" s="238">
        <v>1.1416819747416762</v>
      </c>
      <c r="C12" s="253">
        <v>3.8246346153846149</v>
      </c>
      <c r="D12" s="238">
        <f t="shared" si="0"/>
        <v>99.897172789896672</v>
      </c>
      <c r="F12" s="245">
        <f t="shared" si="6"/>
        <v>3.5039423076923089</v>
      </c>
      <c r="G12" s="238">
        <f t="shared" si="1"/>
        <v>2.919951923076924</v>
      </c>
      <c r="H12" s="245">
        <f t="shared" si="7"/>
        <v>3.5039423076923089</v>
      </c>
      <c r="I12" s="238">
        <f t="shared" si="2"/>
        <v>3.0504376373626383</v>
      </c>
      <c r="J12" s="245">
        <f t="shared" si="8"/>
        <v>3.5039423076923089</v>
      </c>
      <c r="K12" s="238">
        <f t="shared" si="3"/>
        <v>3.1374281135531144</v>
      </c>
      <c r="L12" s="245">
        <f t="shared" si="9"/>
        <v>3.5039423076923089</v>
      </c>
      <c r="M12" s="238">
        <f t="shared" si="4"/>
        <v>3.4636423992674001</v>
      </c>
      <c r="N12" s="238">
        <f t="shared" si="5"/>
        <v>103.91966394441644</v>
      </c>
    </row>
    <row r="13" spans="1:14">
      <c r="A13" s="238">
        <v>2011</v>
      </c>
      <c r="B13" s="238">
        <v>1.1461825487944892</v>
      </c>
      <c r="C13" s="253">
        <v>3.839711538461537</v>
      </c>
      <c r="D13" s="238">
        <f t="shared" si="0"/>
        <v>100.29097301951781</v>
      </c>
      <c r="F13" s="245">
        <f t="shared" si="6"/>
        <v>3.703942307692309</v>
      </c>
      <c r="G13" s="238">
        <f t="shared" si="1"/>
        <v>3.0866185897435905</v>
      </c>
      <c r="H13" s="245">
        <f t="shared" si="7"/>
        <v>3.703942307692309</v>
      </c>
      <c r="I13" s="238">
        <f t="shared" si="2"/>
        <v>3.2171043040293053</v>
      </c>
      <c r="J13" s="245">
        <f t="shared" si="8"/>
        <v>3.703942307692309</v>
      </c>
      <c r="K13" s="238">
        <f t="shared" si="3"/>
        <v>3.3040947802197809</v>
      </c>
      <c r="L13" s="245">
        <f t="shared" si="9"/>
        <v>3.703942307692309</v>
      </c>
      <c r="M13" s="238">
        <f t="shared" si="4"/>
        <v>3.6303090659340667</v>
      </c>
      <c r="N13" s="238">
        <f t="shared" si="5"/>
        <v>108.92016399442144</v>
      </c>
    </row>
    <row r="14" spans="1:14">
      <c r="A14" s="238">
        <v>2013</v>
      </c>
      <c r="B14" s="238">
        <v>1.1706659012629164</v>
      </c>
      <c r="C14" s="253">
        <v>3.921730769230769</v>
      </c>
      <c r="D14" s="238">
        <f t="shared" si="0"/>
        <v>102.43326636050519</v>
      </c>
      <c r="F14" s="245">
        <f t="shared" si="6"/>
        <v>3.9039423076923092</v>
      </c>
      <c r="G14" s="238">
        <f t="shared" si="1"/>
        <v>3.2532852564102579</v>
      </c>
      <c r="H14" s="245">
        <f t="shared" si="7"/>
        <v>3.9039423076923092</v>
      </c>
      <c r="I14" s="238">
        <f t="shared" si="2"/>
        <v>3.3837709706959722</v>
      </c>
      <c r="J14" s="245">
        <f t="shared" si="8"/>
        <v>3.9039423076923092</v>
      </c>
      <c r="K14" s="238">
        <f t="shared" si="3"/>
        <v>3.4707614468864483</v>
      </c>
      <c r="L14" s="245">
        <f t="shared" si="9"/>
        <v>3.9039423076923092</v>
      </c>
      <c r="M14" s="238">
        <f t="shared" si="4"/>
        <v>3.7969757326007345</v>
      </c>
      <c r="N14" s="238">
        <f t="shared" si="5"/>
        <v>113.92066404442647</v>
      </c>
    </row>
    <row r="15" spans="1:14">
      <c r="A15" s="238">
        <v>2012</v>
      </c>
      <c r="B15" s="238">
        <v>1.1843987609124187</v>
      </c>
      <c r="C15" s="253">
        <v>3.9677358490566048</v>
      </c>
      <c r="D15" s="238">
        <f t="shared" si="0"/>
        <v>103.63489157983663</v>
      </c>
      <c r="F15" s="245">
        <f t="shared" si="6"/>
        <v>4.1039423076923089</v>
      </c>
      <c r="G15" s="238">
        <f t="shared" si="1"/>
        <v>3.419951923076924</v>
      </c>
      <c r="H15" s="245">
        <f t="shared" si="7"/>
        <v>4.1039423076923089</v>
      </c>
      <c r="I15" s="238">
        <f t="shared" si="2"/>
        <v>3.5504376373626383</v>
      </c>
      <c r="J15" s="245">
        <f t="shared" si="8"/>
        <v>4.1039423076923089</v>
      </c>
      <c r="K15" s="238">
        <f t="shared" si="3"/>
        <v>3.6374281135531144</v>
      </c>
      <c r="L15" s="245">
        <f t="shared" si="9"/>
        <v>4.1039423076923089</v>
      </c>
      <c r="M15" s="238">
        <f>(0.25*($C$21-$C$25)+H15*$B$21)/$B$26</f>
        <v>3.9636423992674001</v>
      </c>
      <c r="N15" s="238">
        <f t="shared" si="5"/>
        <v>118.92116409443145</v>
      </c>
    </row>
    <row r="16" spans="1:14">
      <c r="A16" s="238">
        <v>2022</v>
      </c>
      <c r="B16" s="238">
        <v>1.4809950248756221</v>
      </c>
      <c r="C16" s="253">
        <v>4.961333333333334</v>
      </c>
      <c r="D16" s="238">
        <f t="shared" si="0"/>
        <v>129.58706467661693</v>
      </c>
      <c r="F16" s="245">
        <f t="shared" si="6"/>
        <v>4.3039423076923091</v>
      </c>
      <c r="G16" s="238">
        <f t="shared" si="1"/>
        <v>3.5866185897435914</v>
      </c>
      <c r="H16" s="245">
        <f t="shared" si="7"/>
        <v>4.3039423076923091</v>
      </c>
      <c r="I16" s="238">
        <f t="shared" si="2"/>
        <v>3.7171043040293057</v>
      </c>
      <c r="J16" s="245">
        <f t="shared" si="8"/>
        <v>4.3039423076923091</v>
      </c>
      <c r="K16" s="238">
        <f t="shared" si="3"/>
        <v>3.8040947802197813</v>
      </c>
      <c r="L16" s="245">
        <f t="shared" si="9"/>
        <v>4.3039423076923091</v>
      </c>
      <c r="M16" s="238">
        <f t="shared" si="4"/>
        <v>4.1303090659340675</v>
      </c>
      <c r="N16" s="238">
        <f t="shared" si="5"/>
        <v>123.92166414443649</v>
      </c>
    </row>
    <row r="17" spans="1:22">
      <c r="F17" s="245">
        <f t="shared" si="6"/>
        <v>4.5039423076923093</v>
      </c>
      <c r="G17" s="238">
        <f t="shared" si="1"/>
        <v>3.7532852564102579</v>
      </c>
      <c r="H17" s="245">
        <f t="shared" si="7"/>
        <v>4.5039423076923093</v>
      </c>
      <c r="I17" s="238">
        <f t="shared" si="2"/>
        <v>3.8837709706959722</v>
      </c>
      <c r="J17" s="245">
        <f t="shared" si="8"/>
        <v>4.5039423076923093</v>
      </c>
      <c r="K17" s="238">
        <f t="shared" si="3"/>
        <v>3.9707614468864483</v>
      </c>
      <c r="L17" s="245">
        <f t="shared" si="9"/>
        <v>4.5039423076923093</v>
      </c>
      <c r="M17" s="238">
        <f t="shared" si="4"/>
        <v>4.2969757326007345</v>
      </c>
      <c r="N17" s="238">
        <f t="shared" si="5"/>
        <v>128.92216419444151</v>
      </c>
    </row>
    <row r="18" spans="1:22">
      <c r="F18" s="245">
        <f t="shared" si="6"/>
        <v>4.7039423076923095</v>
      </c>
      <c r="G18" s="238">
        <f t="shared" si="1"/>
        <v>3.9199519230769244</v>
      </c>
      <c r="H18" s="245">
        <f t="shared" si="7"/>
        <v>4.7039423076923095</v>
      </c>
      <c r="I18" s="238">
        <f t="shared" si="2"/>
        <v>4.0504376373626387</v>
      </c>
      <c r="J18" s="245">
        <f t="shared" si="8"/>
        <v>4.7039423076923095</v>
      </c>
      <c r="K18" s="238">
        <f t="shared" si="3"/>
        <v>4.1374281135531152</v>
      </c>
      <c r="L18" s="245">
        <f t="shared" si="9"/>
        <v>4.7039423076923095</v>
      </c>
      <c r="M18" s="238">
        <f t="shared" si="4"/>
        <v>4.4636423992674015</v>
      </c>
      <c r="N18" s="238">
        <f t="shared" si="5"/>
        <v>133.92266424444651</v>
      </c>
    </row>
    <row r="19" spans="1:22">
      <c r="F19" s="245">
        <f t="shared" si="6"/>
        <v>4.9039423076923097</v>
      </c>
      <c r="G19" s="238">
        <f t="shared" si="1"/>
        <v>4.0866185897435914</v>
      </c>
      <c r="H19" s="245">
        <f t="shared" si="7"/>
        <v>4.9039423076923097</v>
      </c>
      <c r="I19" s="238">
        <f t="shared" si="2"/>
        <v>4.2171043040293057</v>
      </c>
      <c r="J19" s="245">
        <f t="shared" si="8"/>
        <v>4.9039423076923097</v>
      </c>
      <c r="K19" s="238">
        <f t="shared" si="3"/>
        <v>4.3040947802197813</v>
      </c>
      <c r="L19" s="245">
        <f t="shared" si="9"/>
        <v>4.9039423076923097</v>
      </c>
      <c r="M19" s="238">
        <f t="shared" si="4"/>
        <v>4.6303090659340675</v>
      </c>
      <c r="N19" s="238">
        <f t="shared" si="5"/>
        <v>138.92316429445148</v>
      </c>
    </row>
    <row r="20" spans="1:22" ht="55.2">
      <c r="A20" s="243" t="s">
        <v>52</v>
      </c>
      <c r="B20" s="243" t="s">
        <v>279</v>
      </c>
      <c r="C20" s="243" t="s">
        <v>280</v>
      </c>
      <c r="D20" s="244"/>
      <c r="E20" s="244"/>
      <c r="F20" s="245">
        <f t="shared" si="6"/>
        <v>5.1039423076923098</v>
      </c>
      <c r="G20" s="238">
        <f t="shared" si="1"/>
        <v>4.2532852564102583</v>
      </c>
      <c r="H20" s="245">
        <f t="shared" si="7"/>
        <v>5.1039423076923098</v>
      </c>
      <c r="I20" s="238">
        <f t="shared" si="2"/>
        <v>4.3837709706959727</v>
      </c>
      <c r="J20" s="245">
        <f t="shared" si="8"/>
        <v>5.1039423076923098</v>
      </c>
      <c r="K20" s="238">
        <f t="shared" si="3"/>
        <v>4.4707614468864483</v>
      </c>
      <c r="L20" s="245">
        <f t="shared" si="9"/>
        <v>5.1039423076923098</v>
      </c>
      <c r="M20" s="238">
        <f t="shared" si="4"/>
        <v>4.7969757326007345</v>
      </c>
      <c r="N20" s="238">
        <f t="shared" si="5"/>
        <v>143.92366434445648</v>
      </c>
    </row>
    <row r="21" spans="1:22">
      <c r="A21" s="238" t="s">
        <v>281</v>
      </c>
      <c r="B21" s="238">
        <v>87.5</v>
      </c>
      <c r="C21" s="247">
        <v>275.60000000000002</v>
      </c>
      <c r="F21" s="245">
        <f t="shared" si="6"/>
        <v>5.30394230769231</v>
      </c>
      <c r="G21" s="238">
        <f t="shared" si="1"/>
        <v>4.4199519230769253</v>
      </c>
      <c r="H21" s="245">
        <f t="shared" si="7"/>
        <v>5.30394230769231</v>
      </c>
      <c r="I21" s="238">
        <f t="shared" si="2"/>
        <v>4.5504376373626396</v>
      </c>
      <c r="J21" s="245">
        <f t="shared" si="8"/>
        <v>5.30394230769231</v>
      </c>
      <c r="K21" s="238">
        <f t="shared" si="3"/>
        <v>4.6374281135531152</v>
      </c>
      <c r="L21" s="245">
        <f t="shared" si="9"/>
        <v>5.30394230769231</v>
      </c>
      <c r="M21" s="238">
        <f t="shared" si="4"/>
        <v>4.9636423992674015</v>
      </c>
      <c r="N21" s="238">
        <f t="shared" si="5"/>
        <v>148.92416439446151</v>
      </c>
    </row>
    <row r="22" spans="1:22">
      <c r="A22" s="238">
        <v>4</v>
      </c>
      <c r="B22" s="238">
        <v>105</v>
      </c>
      <c r="C22" s="247">
        <f>4*B22</f>
        <v>420</v>
      </c>
    </row>
    <row r="23" spans="1:22">
      <c r="A23" s="238">
        <v>2.5</v>
      </c>
      <c r="B23" s="238">
        <v>105</v>
      </c>
      <c r="C23" s="247">
        <f>2.5*B23</f>
        <v>262.5</v>
      </c>
    </row>
    <row r="24" spans="1:22">
      <c r="A24" s="238">
        <v>1.5</v>
      </c>
      <c r="B24" s="238">
        <v>105</v>
      </c>
      <c r="C24" s="247">
        <f>1.5*B24</f>
        <v>157.5</v>
      </c>
    </row>
    <row r="25" spans="1:22">
      <c r="A25" s="238">
        <v>0.45</v>
      </c>
      <c r="B25" s="238">
        <v>105</v>
      </c>
      <c r="C25" s="247">
        <f>0.45*B25</f>
        <v>47.25</v>
      </c>
    </row>
    <row r="26" spans="1:22">
      <c r="A26" s="238" t="s">
        <v>282</v>
      </c>
      <c r="B26" s="238">
        <v>105</v>
      </c>
    </row>
    <row r="27" spans="1:22">
      <c r="F27" s="52" t="s">
        <v>57</v>
      </c>
      <c r="G27" s="52">
        <v>3</v>
      </c>
      <c r="H27" s="52">
        <v>4</v>
      </c>
      <c r="I27" s="52">
        <v>5</v>
      </c>
      <c r="J27" s="52">
        <v>6</v>
      </c>
      <c r="K27" s="52">
        <v>7</v>
      </c>
      <c r="L27" s="52">
        <v>8</v>
      </c>
      <c r="M27" s="52">
        <v>9</v>
      </c>
      <c r="N27" s="52">
        <v>10</v>
      </c>
      <c r="O27" s="52">
        <v>11</v>
      </c>
      <c r="P27" s="52">
        <v>12</v>
      </c>
      <c r="Q27" s="52">
        <v>13</v>
      </c>
      <c r="R27" s="52">
        <v>14</v>
      </c>
      <c r="S27" s="52">
        <v>15</v>
      </c>
      <c r="T27" s="238">
        <v>16</v>
      </c>
      <c r="U27" s="238">
        <v>17</v>
      </c>
      <c r="V27" s="238">
        <v>18</v>
      </c>
    </row>
    <row r="28" spans="1:22">
      <c r="F28" s="252" t="s">
        <v>285</v>
      </c>
      <c r="G28" s="238">
        <v>60.177597588978188</v>
      </c>
      <c r="H28" s="238">
        <v>65.401478185993128</v>
      </c>
      <c r="I28" s="238">
        <v>70.625358783008039</v>
      </c>
      <c r="J28" s="238">
        <v>75.849239380022979</v>
      </c>
      <c r="K28" s="238">
        <v>81.073119977037905</v>
      </c>
      <c r="L28" s="238">
        <v>86.297000574052831</v>
      </c>
      <c r="M28" s="238">
        <v>91.520881171067771</v>
      </c>
      <c r="N28" s="238">
        <v>96.744761768082697</v>
      </c>
      <c r="O28" s="238">
        <v>101.96864236509762</v>
      </c>
      <c r="P28" s="238">
        <v>107.19252296211253</v>
      </c>
      <c r="Q28" s="238">
        <v>112.41640355912747</v>
      </c>
      <c r="R28" s="238">
        <v>117.6402841561424</v>
      </c>
      <c r="S28" s="238">
        <v>122.86416475315734</v>
      </c>
      <c r="T28" s="238">
        <v>128.08804535017225</v>
      </c>
      <c r="U28" s="238">
        <v>133.31192594718721</v>
      </c>
      <c r="V28" s="238">
        <v>138.53580654420213</v>
      </c>
    </row>
    <row r="29" spans="1:22">
      <c r="F29" s="252" t="s">
        <v>122</v>
      </c>
      <c r="G29" s="238">
        <v>1.9199519230769231</v>
      </c>
      <c r="H29" s="238">
        <v>2.08661858974359</v>
      </c>
      <c r="I29" s="238">
        <v>2.2532852564102566</v>
      </c>
      <c r="J29" s="238">
        <v>2.4199519230769235</v>
      </c>
      <c r="K29" s="238">
        <v>2.5866185897435905</v>
      </c>
      <c r="L29" s="238">
        <v>2.7532852564102575</v>
      </c>
      <c r="M29" s="238">
        <v>2.919951923076924</v>
      </c>
      <c r="N29" s="238">
        <v>3.0866185897435905</v>
      </c>
      <c r="O29" s="238">
        <v>3.2532852564102579</v>
      </c>
      <c r="P29" s="238">
        <v>3.419951923076924</v>
      </c>
      <c r="Q29" s="238">
        <v>3.5866185897435914</v>
      </c>
      <c r="R29" s="238">
        <v>3.7532852564102579</v>
      </c>
      <c r="S29" s="238">
        <v>3.9199519230769244</v>
      </c>
      <c r="T29" s="238">
        <v>4.0866185897435914</v>
      </c>
      <c r="U29" s="238">
        <v>4.2532852564102583</v>
      </c>
      <c r="V29" s="238">
        <v>4.4199519230769253</v>
      </c>
    </row>
    <row r="30" spans="1:22" ht="15.6">
      <c r="F30" s="252" t="s">
        <v>286</v>
      </c>
      <c r="G30" s="238">
        <v>2.0504376373626374</v>
      </c>
      <c r="H30" s="238">
        <v>2.2171043040293039</v>
      </c>
      <c r="I30" s="238">
        <v>2.3837709706959709</v>
      </c>
      <c r="J30" s="238">
        <v>2.5504376373626378</v>
      </c>
      <c r="K30" s="238">
        <v>2.7171043040293053</v>
      </c>
      <c r="L30" s="238">
        <v>2.8837709706959718</v>
      </c>
      <c r="M30" s="238">
        <v>3.0504376373626383</v>
      </c>
      <c r="N30" s="238">
        <v>3.2171043040293053</v>
      </c>
      <c r="O30" s="238">
        <v>3.3837709706959722</v>
      </c>
      <c r="P30" s="238">
        <v>3.5504376373626383</v>
      </c>
      <c r="Q30" s="238">
        <v>3.7171043040293057</v>
      </c>
      <c r="R30" s="238">
        <v>3.8837709706959722</v>
      </c>
      <c r="S30" s="238">
        <v>4.0504376373626387</v>
      </c>
      <c r="T30" s="238">
        <v>4.2171043040293057</v>
      </c>
      <c r="U30" s="238">
        <v>4.3837709706959727</v>
      </c>
      <c r="V30" s="238">
        <v>4.5504376373626396</v>
      </c>
    </row>
    <row r="31" spans="1:22" ht="15.6">
      <c r="F31" s="252" t="s">
        <v>287</v>
      </c>
      <c r="G31" s="238">
        <v>2.1374281135531139</v>
      </c>
      <c r="H31" s="238">
        <v>2.3040947802197804</v>
      </c>
      <c r="I31" s="238">
        <v>2.4707614468864469</v>
      </c>
      <c r="J31" s="238">
        <v>2.6374281135531144</v>
      </c>
      <c r="K31" s="238">
        <v>2.8040947802197809</v>
      </c>
      <c r="L31" s="238">
        <v>2.9707614468864474</v>
      </c>
      <c r="M31" s="238">
        <v>3.1374281135531144</v>
      </c>
      <c r="N31" s="238">
        <v>3.3040947802197809</v>
      </c>
      <c r="O31" s="238">
        <v>3.4707614468864483</v>
      </c>
      <c r="P31" s="238">
        <v>3.6374281135531144</v>
      </c>
      <c r="Q31" s="238">
        <v>3.8040947802197813</v>
      </c>
      <c r="R31" s="238">
        <v>3.9707614468864483</v>
      </c>
      <c r="S31" s="238">
        <v>4.1374281135531152</v>
      </c>
      <c r="T31" s="238">
        <v>4.3040947802197813</v>
      </c>
      <c r="U31" s="238">
        <v>4.4707614468864483</v>
      </c>
      <c r="V31" s="238">
        <v>4.6374281135531152</v>
      </c>
    </row>
    <row r="32" spans="1:22" ht="15.6">
      <c r="F32" s="252" t="s">
        <v>288</v>
      </c>
      <c r="G32" s="238">
        <v>2.4636423992673993</v>
      </c>
      <c r="H32" s="238">
        <v>2.6303090659340662</v>
      </c>
      <c r="I32" s="238">
        <v>2.7969757326007332</v>
      </c>
      <c r="J32" s="238">
        <v>2.9636423992674001</v>
      </c>
      <c r="K32" s="238">
        <v>3.1303090659340667</v>
      </c>
      <c r="L32" s="238">
        <v>3.2969757326007332</v>
      </c>
      <c r="M32" s="238">
        <v>3.4636423992674001</v>
      </c>
      <c r="N32" s="238">
        <v>3.6303090659340667</v>
      </c>
      <c r="O32" s="238">
        <v>3.7969757326007345</v>
      </c>
      <c r="P32" s="238">
        <v>3.9636423992674001</v>
      </c>
      <c r="Q32" s="238">
        <v>4.1303090659340675</v>
      </c>
      <c r="R32" s="238">
        <v>4.2969757326007345</v>
      </c>
      <c r="S32" s="238">
        <v>4.4636423992674015</v>
      </c>
      <c r="T32" s="238">
        <v>4.6303090659340675</v>
      </c>
      <c r="U32" s="238">
        <v>4.7969757326007345</v>
      </c>
      <c r="V32" s="238">
        <v>4.9636423992674015</v>
      </c>
    </row>
    <row r="33" spans="1:22">
      <c r="F33" s="252" t="s">
        <v>126</v>
      </c>
      <c r="G33" s="52">
        <f t="shared" ref="G33:S33" si="10">G29</f>
        <v>1.9199519230769231</v>
      </c>
      <c r="H33" s="52">
        <f t="shared" si="10"/>
        <v>2.08661858974359</v>
      </c>
      <c r="I33" s="52">
        <f t="shared" si="10"/>
        <v>2.2532852564102566</v>
      </c>
      <c r="J33" s="52">
        <f t="shared" si="10"/>
        <v>2.4199519230769235</v>
      </c>
      <c r="K33" s="52">
        <f t="shared" si="10"/>
        <v>2.5866185897435905</v>
      </c>
      <c r="L33" s="52">
        <f t="shared" si="10"/>
        <v>2.7532852564102575</v>
      </c>
      <c r="M33" s="52">
        <f t="shared" si="10"/>
        <v>2.919951923076924</v>
      </c>
      <c r="N33" s="52">
        <f t="shared" si="10"/>
        <v>3.0866185897435905</v>
      </c>
      <c r="O33" s="52">
        <f>O29</f>
        <v>3.2532852564102579</v>
      </c>
      <c r="P33" s="52">
        <f t="shared" si="10"/>
        <v>3.419951923076924</v>
      </c>
      <c r="Q33" s="52">
        <f>Q29</f>
        <v>3.5866185897435914</v>
      </c>
      <c r="R33" s="52">
        <f>R29</f>
        <v>3.7532852564102579</v>
      </c>
      <c r="S33" s="52">
        <f t="shared" si="10"/>
        <v>3.9199519230769244</v>
      </c>
      <c r="T33" s="52">
        <f>T29</f>
        <v>4.0866185897435914</v>
      </c>
      <c r="U33" s="52">
        <f>U29</f>
        <v>4.2532852564102583</v>
      </c>
      <c r="V33" s="52">
        <f>V29</f>
        <v>4.4199519230769253</v>
      </c>
    </row>
    <row r="34" spans="1:22">
      <c r="F34" s="252" t="s">
        <v>66</v>
      </c>
      <c r="G34" s="52">
        <f t="shared" ref="G34:V36" si="11">G30-G29</f>
        <v>0.13048571428571432</v>
      </c>
      <c r="H34" s="52">
        <f t="shared" si="11"/>
        <v>0.13048571428571387</v>
      </c>
      <c r="I34" s="52">
        <f t="shared" si="11"/>
        <v>0.13048571428571432</v>
      </c>
      <c r="J34" s="52">
        <f t="shared" si="11"/>
        <v>0.13048571428571432</v>
      </c>
      <c r="K34" s="52">
        <f t="shared" si="11"/>
        <v>0.13048571428571476</v>
      </c>
      <c r="L34" s="52">
        <f t="shared" si="11"/>
        <v>0.13048571428571432</v>
      </c>
      <c r="M34" s="52">
        <f t="shared" si="11"/>
        <v>0.13048571428571432</v>
      </c>
      <c r="N34" s="52">
        <f t="shared" si="11"/>
        <v>0.13048571428571476</v>
      </c>
      <c r="O34" s="52">
        <f t="shared" si="11"/>
        <v>0.13048571428571432</v>
      </c>
      <c r="P34" s="52">
        <f t="shared" si="11"/>
        <v>0.13048571428571432</v>
      </c>
      <c r="Q34" s="52">
        <f t="shared" si="11"/>
        <v>0.13048571428571432</v>
      </c>
      <c r="R34" s="52">
        <f t="shared" si="11"/>
        <v>0.13048571428571432</v>
      </c>
      <c r="S34" s="52">
        <f t="shared" si="11"/>
        <v>0.13048571428571432</v>
      </c>
      <c r="T34" s="52">
        <f t="shared" si="11"/>
        <v>0.13048571428571432</v>
      </c>
      <c r="U34" s="52">
        <f t="shared" si="11"/>
        <v>0.13048571428571432</v>
      </c>
      <c r="V34" s="52">
        <f t="shared" si="11"/>
        <v>0.13048571428571432</v>
      </c>
    </row>
    <row r="35" spans="1:22">
      <c r="F35" s="252" t="s">
        <v>130</v>
      </c>
      <c r="G35" s="52">
        <f>G31-G30</f>
        <v>8.6990476190476507E-2</v>
      </c>
      <c r="H35" s="52">
        <f t="shared" si="11"/>
        <v>8.6990476190476507E-2</v>
      </c>
      <c r="I35" s="52">
        <f t="shared" si="11"/>
        <v>8.6990476190476063E-2</v>
      </c>
      <c r="J35" s="52">
        <f t="shared" si="11"/>
        <v>8.6990476190476507E-2</v>
      </c>
      <c r="K35" s="52">
        <f t="shared" si="11"/>
        <v>8.6990476190475619E-2</v>
      </c>
      <c r="L35" s="52">
        <f t="shared" si="11"/>
        <v>8.6990476190475619E-2</v>
      </c>
      <c r="M35" s="52">
        <f t="shared" si="11"/>
        <v>8.6990476190476063E-2</v>
      </c>
      <c r="N35" s="52">
        <f t="shared" si="11"/>
        <v>8.6990476190475619E-2</v>
      </c>
      <c r="O35" s="52">
        <f t="shared" si="11"/>
        <v>8.6990476190476063E-2</v>
      </c>
      <c r="P35" s="52">
        <f t="shared" si="11"/>
        <v>8.6990476190476063E-2</v>
      </c>
      <c r="Q35" s="52">
        <f t="shared" si="11"/>
        <v>8.6990476190475619E-2</v>
      </c>
      <c r="R35" s="52">
        <f t="shared" si="11"/>
        <v>8.6990476190476063E-2</v>
      </c>
      <c r="S35" s="52">
        <f t="shared" si="11"/>
        <v>8.6990476190476507E-2</v>
      </c>
      <c r="T35" s="52">
        <f t="shared" si="11"/>
        <v>8.6990476190475619E-2</v>
      </c>
      <c r="U35" s="52">
        <f t="shared" si="11"/>
        <v>8.6990476190475619E-2</v>
      </c>
      <c r="V35" s="52">
        <f t="shared" si="11"/>
        <v>8.6990476190475619E-2</v>
      </c>
    </row>
    <row r="36" spans="1:22">
      <c r="F36" s="252" t="s">
        <v>131</v>
      </c>
      <c r="G36" s="52">
        <f>G32-G31</f>
        <v>0.32621428571428535</v>
      </c>
      <c r="H36" s="52">
        <f t="shared" si="11"/>
        <v>0.32621428571428579</v>
      </c>
      <c r="I36" s="52">
        <f t="shared" si="11"/>
        <v>0.32621428571428623</v>
      </c>
      <c r="J36" s="52">
        <f t="shared" si="11"/>
        <v>0.32621428571428579</v>
      </c>
      <c r="K36" s="52">
        <f t="shared" si="11"/>
        <v>0.32621428571428579</v>
      </c>
      <c r="L36" s="52">
        <f t="shared" si="11"/>
        <v>0.32621428571428579</v>
      </c>
      <c r="M36" s="52">
        <f t="shared" si="11"/>
        <v>0.32621428571428579</v>
      </c>
      <c r="N36" s="52">
        <f t="shared" si="11"/>
        <v>0.32621428571428579</v>
      </c>
      <c r="O36" s="52">
        <f t="shared" si="11"/>
        <v>0.32621428571428623</v>
      </c>
      <c r="P36" s="52">
        <f t="shared" si="11"/>
        <v>0.32621428571428579</v>
      </c>
      <c r="Q36" s="52">
        <f t="shared" si="11"/>
        <v>0.32621428571428623</v>
      </c>
      <c r="R36" s="52">
        <f t="shared" si="11"/>
        <v>0.32621428571428623</v>
      </c>
      <c r="S36" s="52">
        <f t="shared" si="11"/>
        <v>0.32621428571428623</v>
      </c>
      <c r="T36" s="52">
        <f t="shared" si="11"/>
        <v>0.32621428571428623</v>
      </c>
      <c r="U36" s="52">
        <f t="shared" si="11"/>
        <v>0.32621428571428623</v>
      </c>
      <c r="V36" s="52">
        <f t="shared" si="11"/>
        <v>0.32621428571428623</v>
      </c>
    </row>
    <row r="39" spans="1:22">
      <c r="A39" s="238" t="s">
        <v>272</v>
      </c>
      <c r="B39" s="238" t="s">
        <v>273</v>
      </c>
      <c r="C39" s="238" t="s">
        <v>274</v>
      </c>
      <c r="D39" s="238" t="s">
        <v>275</v>
      </c>
      <c r="E39" s="238" t="s">
        <v>121</v>
      </c>
    </row>
    <row r="40" spans="1:22">
      <c r="A40" s="238">
        <v>2016</v>
      </c>
      <c r="B40" s="238">
        <f>C40/3.35</f>
        <v>0.68774397244546503</v>
      </c>
      <c r="C40" s="245">
        <v>2.3039423076923078</v>
      </c>
      <c r="D40" s="238">
        <f>B40*$B$21</f>
        <v>60.177597588978188</v>
      </c>
      <c r="E40" s="245">
        <f>1000*B40/12.7</f>
        <v>54.153068696493314</v>
      </c>
    </row>
    <row r="41" spans="1:22">
      <c r="A41" s="238">
        <v>2020</v>
      </c>
      <c r="B41" s="238">
        <f t="shared" ref="B41:B55" si="12">C41/3.35</f>
        <v>0.74744546498277853</v>
      </c>
      <c r="C41" s="245">
        <f>C40+0.2</f>
        <v>2.503942307692308</v>
      </c>
      <c r="D41" s="238">
        <f t="shared" ref="D41:D55" si="13">B41*$B$21</f>
        <v>65.401478185993128</v>
      </c>
      <c r="E41" s="245">
        <f>1000*B41/12.7</f>
        <v>58.853973620691221</v>
      </c>
    </row>
    <row r="42" spans="1:22">
      <c r="A42" s="238">
        <v>2017</v>
      </c>
      <c r="B42" s="238">
        <f t="shared" si="12"/>
        <v>0.80714695752009191</v>
      </c>
      <c r="C42" s="245">
        <f t="shared" ref="C42:C55" si="14">C41+0.2</f>
        <v>2.7039423076923081</v>
      </c>
      <c r="D42" s="238">
        <f t="shared" si="13"/>
        <v>70.625358783008039</v>
      </c>
      <c r="E42" s="245">
        <f t="shared" ref="E42:E55" si="15">1000*B42/12.7</f>
        <v>63.554878544889128</v>
      </c>
    </row>
    <row r="43" spans="1:22">
      <c r="A43" s="238">
        <v>2015</v>
      </c>
      <c r="B43" s="238">
        <f t="shared" si="12"/>
        <v>0.86684845005740541</v>
      </c>
      <c r="C43" s="245">
        <f t="shared" si="14"/>
        <v>2.9039423076923083</v>
      </c>
      <c r="D43" s="238">
        <f t="shared" si="13"/>
        <v>75.849239380022979</v>
      </c>
      <c r="E43" s="245">
        <f>1000*B43/12.7</f>
        <v>68.255783469087049</v>
      </c>
    </row>
    <row r="44" spans="1:22">
      <c r="A44" s="238">
        <v>2010</v>
      </c>
      <c r="B44" s="238">
        <f t="shared" si="12"/>
        <v>0.9265499425947189</v>
      </c>
      <c r="C44" s="245">
        <f t="shared" si="14"/>
        <v>3.1039423076923085</v>
      </c>
      <c r="D44" s="238">
        <f t="shared" si="13"/>
        <v>81.073119977037905</v>
      </c>
      <c r="E44" s="245">
        <f t="shared" si="15"/>
        <v>72.956688393284963</v>
      </c>
    </row>
    <row r="45" spans="1:22">
      <c r="A45" s="238">
        <v>2019</v>
      </c>
      <c r="B45" s="238">
        <f t="shared" si="12"/>
        <v>0.98625143513203239</v>
      </c>
      <c r="C45" s="245">
        <f t="shared" si="14"/>
        <v>3.3039423076923087</v>
      </c>
      <c r="D45" s="238">
        <f t="shared" si="13"/>
        <v>86.297000574052831</v>
      </c>
      <c r="E45" s="245">
        <f t="shared" si="15"/>
        <v>77.657593317482863</v>
      </c>
    </row>
    <row r="46" spans="1:22">
      <c r="A46" s="238">
        <v>2018</v>
      </c>
      <c r="B46" s="238">
        <f t="shared" si="12"/>
        <v>1.045952927669346</v>
      </c>
      <c r="C46" s="245">
        <f t="shared" si="14"/>
        <v>3.5039423076923089</v>
      </c>
      <c r="D46" s="238">
        <f t="shared" si="13"/>
        <v>91.520881171067771</v>
      </c>
      <c r="E46" s="245">
        <f t="shared" si="15"/>
        <v>82.358498241680792</v>
      </c>
    </row>
    <row r="47" spans="1:22">
      <c r="A47" s="238">
        <v>2021</v>
      </c>
      <c r="B47" s="238">
        <f t="shared" si="12"/>
        <v>1.1056544202066594</v>
      </c>
      <c r="C47" s="245">
        <f t="shared" si="14"/>
        <v>3.703942307692309</v>
      </c>
      <c r="D47" s="238">
        <f t="shared" si="13"/>
        <v>96.744761768082697</v>
      </c>
      <c r="E47" s="245">
        <f t="shared" si="15"/>
        <v>87.059403165878692</v>
      </c>
    </row>
    <row r="48" spans="1:22">
      <c r="A48" s="238">
        <v>2014</v>
      </c>
      <c r="B48" s="238">
        <f t="shared" si="12"/>
        <v>1.1653559127439728</v>
      </c>
      <c r="C48" s="245">
        <f t="shared" si="14"/>
        <v>3.9039423076923092</v>
      </c>
      <c r="D48" s="238">
        <f t="shared" si="13"/>
        <v>101.96864236509762</v>
      </c>
      <c r="E48" s="245">
        <f t="shared" si="15"/>
        <v>91.760308090076606</v>
      </c>
      <c r="I48" s="254"/>
    </row>
    <row r="49" spans="1:5">
      <c r="A49" s="238">
        <v>2011</v>
      </c>
      <c r="B49" s="238">
        <f t="shared" si="12"/>
        <v>1.2250574052812861</v>
      </c>
      <c r="C49" s="245">
        <f t="shared" si="14"/>
        <v>4.1039423076923089</v>
      </c>
      <c r="D49" s="238">
        <f t="shared" si="13"/>
        <v>107.19252296211253</v>
      </c>
      <c r="E49" s="245">
        <f t="shared" si="15"/>
        <v>96.461213014274492</v>
      </c>
    </row>
    <row r="50" spans="1:5">
      <c r="A50" s="238">
        <v>2013</v>
      </c>
      <c r="B50" s="238">
        <f t="shared" si="12"/>
        <v>1.2847588978185998</v>
      </c>
      <c r="C50" s="245">
        <f t="shared" si="14"/>
        <v>4.3039423076923091</v>
      </c>
      <c r="D50" s="238">
        <f t="shared" si="13"/>
        <v>112.41640355912747</v>
      </c>
      <c r="E50" s="245">
        <f t="shared" si="15"/>
        <v>101.16211793847242</v>
      </c>
    </row>
    <row r="51" spans="1:5">
      <c r="A51" s="238">
        <v>2012</v>
      </c>
      <c r="B51" s="238">
        <f t="shared" si="12"/>
        <v>1.3444603903559131</v>
      </c>
      <c r="C51" s="245">
        <f t="shared" si="14"/>
        <v>4.5039423076923093</v>
      </c>
      <c r="D51" s="238">
        <f t="shared" si="13"/>
        <v>117.6402841561424</v>
      </c>
      <c r="E51" s="245">
        <f t="shared" si="15"/>
        <v>105.86302286267033</v>
      </c>
    </row>
    <row r="52" spans="1:5">
      <c r="A52" s="238">
        <v>2022</v>
      </c>
      <c r="B52" s="238">
        <f t="shared" si="12"/>
        <v>1.4041618828932267</v>
      </c>
      <c r="C52" s="245">
        <f t="shared" si="14"/>
        <v>4.7039423076923095</v>
      </c>
      <c r="D52" s="238">
        <f t="shared" si="13"/>
        <v>122.86416475315734</v>
      </c>
      <c r="E52" s="245">
        <f t="shared" si="15"/>
        <v>110.56392778686825</v>
      </c>
    </row>
    <row r="53" spans="1:5">
      <c r="A53" s="238" t="s">
        <v>19</v>
      </c>
      <c r="B53" s="238">
        <f t="shared" si="12"/>
        <v>1.4638633754305401</v>
      </c>
      <c r="C53" s="245">
        <f t="shared" si="14"/>
        <v>4.9039423076923097</v>
      </c>
      <c r="D53" s="238">
        <f t="shared" si="13"/>
        <v>128.08804535017225</v>
      </c>
      <c r="E53" s="245">
        <f t="shared" si="15"/>
        <v>115.26483271106616</v>
      </c>
    </row>
    <row r="54" spans="1:5">
      <c r="A54" s="238" t="s">
        <v>19</v>
      </c>
      <c r="B54" s="238">
        <f t="shared" si="12"/>
        <v>1.5235648679678537</v>
      </c>
      <c r="C54" s="245">
        <f t="shared" si="14"/>
        <v>5.1039423076923098</v>
      </c>
      <c r="D54" s="238">
        <f t="shared" si="13"/>
        <v>133.31192594718721</v>
      </c>
      <c r="E54" s="245">
        <f t="shared" si="15"/>
        <v>119.96573763526409</v>
      </c>
    </row>
    <row r="55" spans="1:5">
      <c r="A55" s="238" t="s">
        <v>19</v>
      </c>
      <c r="B55" s="238">
        <f t="shared" si="12"/>
        <v>1.5832663605051671</v>
      </c>
      <c r="C55" s="245">
        <f t="shared" si="14"/>
        <v>5.30394230769231</v>
      </c>
      <c r="D55" s="238">
        <f t="shared" si="13"/>
        <v>138.53580654420213</v>
      </c>
      <c r="E55" s="245">
        <f t="shared" si="15"/>
        <v>124.66664255946198</v>
      </c>
    </row>
  </sheetData>
  <mergeCells count="6">
    <mergeCell ref="F3:N3"/>
    <mergeCell ref="A1:B1"/>
    <mergeCell ref="F4:G4"/>
    <mergeCell ref="H4:I4"/>
    <mergeCell ref="J4:K4"/>
    <mergeCell ref="L4:M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B5050-47FE-45C0-8018-8BEE1F52607D}">
  <dimension ref="A1:J19"/>
  <sheetViews>
    <sheetView zoomScale="126" workbookViewId="0">
      <selection activeCell="A4" sqref="A4"/>
    </sheetView>
  </sheetViews>
  <sheetFormatPr defaultColWidth="8.88671875" defaultRowHeight="14.4"/>
  <cols>
    <col min="1" max="1" width="35" style="76" bestFit="1" customWidth="1"/>
    <col min="2" max="2" width="11.6640625" style="76" bestFit="1" customWidth="1"/>
    <col min="3" max="3" width="10.5546875" style="76" bestFit="1" customWidth="1"/>
    <col min="4" max="4" width="12.33203125" style="76" customWidth="1"/>
    <col min="5" max="10" width="10.5546875" style="76" bestFit="1" customWidth="1"/>
    <col min="11" max="16384" width="8.88671875" style="76"/>
  </cols>
  <sheetData>
    <row r="1" spans="1:10" ht="28.95" customHeight="1">
      <c r="A1" s="203" t="s">
        <v>235</v>
      </c>
      <c r="B1" s="211" t="s">
        <v>212</v>
      </c>
      <c r="C1" s="212"/>
      <c r="D1" s="212"/>
      <c r="E1" s="212"/>
      <c r="F1" s="213"/>
      <c r="G1" s="211" t="s">
        <v>213</v>
      </c>
      <c r="H1" s="212"/>
      <c r="I1" s="212"/>
      <c r="J1" s="213"/>
    </row>
    <row r="2" spans="1:10" ht="16.2" thickBot="1">
      <c r="A2" s="204"/>
      <c r="B2" s="142" t="s">
        <v>61</v>
      </c>
      <c r="C2" s="143" t="s">
        <v>225</v>
      </c>
      <c r="D2" s="143" t="s">
        <v>226</v>
      </c>
      <c r="E2" s="143" t="s">
        <v>227</v>
      </c>
      <c r="F2" s="144" t="s">
        <v>228</v>
      </c>
      <c r="G2" s="142" t="s">
        <v>224</v>
      </c>
      <c r="H2" s="143" t="s">
        <v>229</v>
      </c>
      <c r="I2" s="143" t="s">
        <v>230</v>
      </c>
      <c r="J2" s="144" t="s">
        <v>231</v>
      </c>
    </row>
    <row r="3" spans="1:10">
      <c r="A3" s="137" t="s">
        <v>215</v>
      </c>
      <c r="B3" s="214">
        <v>104.5</v>
      </c>
      <c r="C3" s="215"/>
      <c r="D3" s="215"/>
      <c r="E3" s="215"/>
      <c r="F3" s="216"/>
      <c r="G3" s="215">
        <v>104.5</v>
      </c>
      <c r="H3" s="215"/>
      <c r="I3" s="215"/>
      <c r="J3" s="216"/>
    </row>
    <row r="4" spans="1:10">
      <c r="A4" s="137" t="s">
        <v>216</v>
      </c>
      <c r="B4" s="217">
        <v>7.7</v>
      </c>
      <c r="C4" s="218"/>
      <c r="D4" s="218"/>
      <c r="E4" s="218"/>
      <c r="F4" s="219"/>
      <c r="G4" s="218">
        <v>7.7</v>
      </c>
      <c r="H4" s="218"/>
      <c r="I4" s="218"/>
      <c r="J4" s="219"/>
    </row>
    <row r="5" spans="1:10">
      <c r="A5" s="137" t="s">
        <v>217</v>
      </c>
      <c r="B5" s="217">
        <v>14.11</v>
      </c>
      <c r="C5" s="218"/>
      <c r="D5" s="218"/>
      <c r="E5" s="218"/>
      <c r="F5" s="219"/>
      <c r="G5" s="218">
        <v>14.11</v>
      </c>
      <c r="H5" s="218"/>
      <c r="I5" s="218"/>
      <c r="J5" s="219"/>
    </row>
    <row r="6" spans="1:10">
      <c r="A6" s="140" t="s">
        <v>214</v>
      </c>
      <c r="B6" s="145">
        <v>350</v>
      </c>
      <c r="C6" s="146">
        <v>402.5</v>
      </c>
      <c r="D6" s="146">
        <v>420</v>
      </c>
      <c r="E6" s="146">
        <v>437.5</v>
      </c>
      <c r="F6" s="147">
        <v>612.5</v>
      </c>
      <c r="G6" s="148">
        <v>350</v>
      </c>
      <c r="H6" s="146">
        <v>367.5</v>
      </c>
      <c r="I6" s="146">
        <v>373.6</v>
      </c>
      <c r="J6" s="147">
        <v>411.25</v>
      </c>
    </row>
    <row r="7" spans="1:10">
      <c r="A7" s="140" t="s">
        <v>218</v>
      </c>
      <c r="B7" s="145">
        <v>7.5</v>
      </c>
      <c r="C7" s="146">
        <v>16.5</v>
      </c>
      <c r="D7" s="146">
        <v>18.899999999999999</v>
      </c>
      <c r="E7" s="146">
        <v>22.5</v>
      </c>
      <c r="F7" s="147">
        <v>52.5</v>
      </c>
      <c r="G7" s="148">
        <v>7.5</v>
      </c>
      <c r="H7" s="146">
        <v>12</v>
      </c>
      <c r="I7" s="146">
        <v>15.9</v>
      </c>
      <c r="J7" s="147">
        <v>28.5</v>
      </c>
    </row>
    <row r="8" spans="1:10">
      <c r="A8" s="140" t="s">
        <v>219</v>
      </c>
      <c r="B8" s="145">
        <v>14.1</v>
      </c>
      <c r="C8" s="146">
        <v>30</v>
      </c>
      <c r="D8" s="146">
        <v>34</v>
      </c>
      <c r="E8" s="146">
        <v>40</v>
      </c>
      <c r="F8" s="147">
        <v>92</v>
      </c>
      <c r="G8" s="148">
        <v>14.1</v>
      </c>
      <c r="H8" s="146">
        <v>24</v>
      </c>
      <c r="I8" s="146">
        <v>30.8</v>
      </c>
      <c r="J8" s="147">
        <v>56</v>
      </c>
    </row>
    <row r="9" spans="1:10">
      <c r="A9" s="136" t="s">
        <v>220</v>
      </c>
      <c r="B9" s="205">
        <v>4000</v>
      </c>
      <c r="C9" s="206"/>
      <c r="D9" s="206"/>
      <c r="E9" s="206"/>
      <c r="F9" s="207"/>
      <c r="G9" s="206">
        <v>4000</v>
      </c>
      <c r="H9" s="206"/>
      <c r="I9" s="206"/>
      <c r="J9" s="207"/>
    </row>
    <row r="10" spans="1:10">
      <c r="A10" s="136" t="s">
        <v>221</v>
      </c>
      <c r="B10" s="205">
        <v>6000</v>
      </c>
      <c r="C10" s="206"/>
      <c r="D10" s="206"/>
      <c r="E10" s="206"/>
      <c r="F10" s="207"/>
      <c r="G10" s="206">
        <v>6000</v>
      </c>
      <c r="H10" s="206"/>
      <c r="I10" s="206"/>
      <c r="J10" s="207"/>
    </row>
    <row r="11" spans="1:10" ht="28.8">
      <c r="A11" s="138" t="s">
        <v>232</v>
      </c>
      <c r="B11" s="149">
        <f>SUM(B6:B8)-SUM(B3:F5)</f>
        <v>245.29000000000002</v>
      </c>
      <c r="C11" s="150">
        <f>SUM(C6:C8)-SUM(B3:F5)</f>
        <v>322.69</v>
      </c>
      <c r="D11" s="150">
        <f>SUM(D6:D8)-SUM(B3:F5)</f>
        <v>346.59</v>
      </c>
      <c r="E11" s="150">
        <f>SUM(E6:E8)-SUM(B3:F5)</f>
        <v>373.69</v>
      </c>
      <c r="F11" s="151">
        <f>SUM(F6:F8)-SUM(B3:F5)</f>
        <v>630.69000000000005</v>
      </c>
      <c r="G11" s="152">
        <f t="shared" ref="G11" si="0">SUM(G6:G8)-SUM(G3:G5)</f>
        <v>245.29000000000002</v>
      </c>
      <c r="H11" s="150">
        <f>SUM(H6:H8)-SUM(G3:J5)</f>
        <v>277.19</v>
      </c>
      <c r="I11" s="150">
        <f>SUM(I6:I8)-SUM(G3:J5)</f>
        <v>293.99</v>
      </c>
      <c r="J11" s="151">
        <f>SUM(J6:J8)-SUM(G3:J5)</f>
        <v>369.44</v>
      </c>
    </row>
    <row r="12" spans="1:10" ht="28.8">
      <c r="A12" s="138" t="s">
        <v>234</v>
      </c>
      <c r="B12" s="149">
        <f>0</f>
        <v>0</v>
      </c>
      <c r="C12" s="150">
        <f>C11-$B$11</f>
        <v>77.399999999999977</v>
      </c>
      <c r="D12" s="150">
        <f t="shared" ref="D12:J12" si="1">D11-$B$11</f>
        <v>101.29999999999995</v>
      </c>
      <c r="E12" s="150">
        <f t="shared" si="1"/>
        <v>128.39999999999998</v>
      </c>
      <c r="F12" s="151">
        <f t="shared" si="1"/>
        <v>385.40000000000003</v>
      </c>
      <c r="G12" s="152">
        <f t="shared" si="1"/>
        <v>0</v>
      </c>
      <c r="H12" s="150">
        <f t="shared" si="1"/>
        <v>31.899999999999977</v>
      </c>
      <c r="I12" s="150">
        <f t="shared" si="1"/>
        <v>48.699999999999989</v>
      </c>
      <c r="J12" s="150">
        <f t="shared" si="1"/>
        <v>124.14999999999998</v>
      </c>
    </row>
    <row r="13" spans="1:10" ht="28.8">
      <c r="A13" s="176" t="s">
        <v>233</v>
      </c>
      <c r="B13" s="208">
        <f>$B$11</f>
        <v>245.29000000000002</v>
      </c>
      <c r="C13" s="209"/>
      <c r="D13" s="209"/>
      <c r="E13" s="209"/>
      <c r="F13" s="210"/>
      <c r="G13" s="208">
        <f>G11</f>
        <v>245.29000000000002</v>
      </c>
      <c r="H13" s="209"/>
      <c r="I13" s="209"/>
      <c r="J13" s="210"/>
    </row>
    <row r="14" spans="1:10" ht="28.8">
      <c r="A14" s="139" t="s">
        <v>236</v>
      </c>
      <c r="B14" s="153">
        <f>B9+SUM(B6:B8)-SUM(B3:B5)</f>
        <v>4245.29</v>
      </c>
      <c r="C14" s="154">
        <f>B9+SUM(C6:C8)-SUM(C3:C5)</f>
        <v>4449</v>
      </c>
      <c r="D14" s="154">
        <f>B9+SUM(D6:D8)-SUM(D3:D5)</f>
        <v>4472.8999999999996</v>
      </c>
      <c r="E14" s="154">
        <f>B9+SUM(E6:E8)-SUM(E3:E5)</f>
        <v>4500</v>
      </c>
      <c r="F14" s="155">
        <f>B9+SUM(F6:F8)-SUM(F3:F5)</f>
        <v>4757</v>
      </c>
      <c r="G14" s="156">
        <f t="shared" ref="G14" si="2">G9+SUM(G6:G8)-SUM(G3:G5)</f>
        <v>4245.29</v>
      </c>
      <c r="H14" s="154">
        <f>G9+SUM(H6:H8)-SUM(H3:H5)</f>
        <v>4403.5</v>
      </c>
      <c r="I14" s="154">
        <f>B9+SUM(I6:I8)-SUM(I3:I5)</f>
        <v>4420.3</v>
      </c>
      <c r="J14" s="155">
        <f>B9+SUM(J6:J8)-SUM(J3:J5)</f>
        <v>4495.75</v>
      </c>
    </row>
    <row r="15" spans="1:10" ht="28.8">
      <c r="A15" s="141" t="s">
        <v>237</v>
      </c>
      <c r="B15" s="157">
        <f>B10+SUM(B6:B8)-SUM(B3:B5)</f>
        <v>6245.29</v>
      </c>
      <c r="C15" s="158">
        <f>B10+SUM(C6:C8)-SUM(C3:C5)</f>
        <v>6449</v>
      </c>
      <c r="D15" s="158">
        <f>B10+SUM(D6:D8)-SUM(D3:D5)</f>
        <v>6472.9</v>
      </c>
      <c r="E15" s="158">
        <f>B10+SUM(E6:E8)-SUM(E3:E5)</f>
        <v>6500</v>
      </c>
      <c r="F15" s="159">
        <f>B10+SUM(F6:F8)-SUM(F3:F5)</f>
        <v>6757</v>
      </c>
      <c r="G15" s="160">
        <f t="shared" ref="G15" si="3">G10+SUM(G6:G8)-SUM(G3:G5)</f>
        <v>6245.29</v>
      </c>
      <c r="H15" s="158">
        <f>G10+SUM(H6:H8)-SUM(H3:H5)</f>
        <v>6403.5</v>
      </c>
      <c r="I15" s="158">
        <f>B10+SUM(I6:I8)-SUM(I3:I5)</f>
        <v>6420.3</v>
      </c>
      <c r="J15" s="159">
        <f>B10+SUM(J6:J8)-SUM(J3:J5)</f>
        <v>6495.75</v>
      </c>
    </row>
    <row r="16" spans="1:10" ht="28.8">
      <c r="A16" s="171" t="s">
        <v>238</v>
      </c>
      <c r="B16" s="172">
        <f>(B6+B7+B8)/B14</f>
        <v>8.7532300502439181E-2</v>
      </c>
      <c r="C16" s="173">
        <f t="shared" ref="C16:J16" si="4">(C6+C7+C8)/C14</f>
        <v>0.10092155540570914</v>
      </c>
      <c r="D16" s="173">
        <f t="shared" si="4"/>
        <v>0.10572559189787387</v>
      </c>
      <c r="E16" s="173">
        <f t="shared" si="4"/>
        <v>0.1111111111111111</v>
      </c>
      <c r="F16" s="174">
        <f>(F6+F7+F8)/F14</f>
        <v>0.15913390792516291</v>
      </c>
      <c r="G16" s="175">
        <f t="shared" si="4"/>
        <v>8.7532300502439181E-2</v>
      </c>
      <c r="H16" s="173">
        <f t="shared" si="4"/>
        <v>9.1631656636766215E-2</v>
      </c>
      <c r="I16" s="173">
        <f t="shared" si="4"/>
        <v>9.5084044069407056E-2</v>
      </c>
      <c r="J16" s="174">
        <f t="shared" si="4"/>
        <v>0.11027081132180393</v>
      </c>
    </row>
    <row r="17" spans="1:10" ht="28.8">
      <c r="A17" s="171" t="s">
        <v>239</v>
      </c>
      <c r="B17" s="172">
        <f>(B6+B7+B8)/B15</f>
        <v>5.9500839832898077E-2</v>
      </c>
      <c r="C17" s="173">
        <f t="shared" ref="C17:J17" si="5">(C6+C7+C8)/C15</f>
        <v>6.962319739494495E-2</v>
      </c>
      <c r="D17" s="173">
        <f t="shared" si="5"/>
        <v>7.3058443665126913E-2</v>
      </c>
      <c r="E17" s="173">
        <f t="shared" si="5"/>
        <v>7.6923076923076927E-2</v>
      </c>
      <c r="F17" s="174">
        <f t="shared" si="5"/>
        <v>0.11203196684919343</v>
      </c>
      <c r="G17" s="175">
        <f t="shared" si="5"/>
        <v>5.9500839832898077E-2</v>
      </c>
      <c r="H17" s="173">
        <f t="shared" si="5"/>
        <v>6.3012415085500123E-2</v>
      </c>
      <c r="I17" s="173">
        <f t="shared" si="5"/>
        <v>6.5464230643427879E-2</v>
      </c>
      <c r="J17" s="174">
        <f t="shared" si="5"/>
        <v>7.6319131739983836E-2</v>
      </c>
    </row>
    <row r="18" spans="1:10" ht="28.8">
      <c r="A18" s="136" t="s">
        <v>223</v>
      </c>
      <c r="B18" s="161">
        <f>SUM(B3:E5)/B9</f>
        <v>3.1577500000000001E-2</v>
      </c>
      <c r="C18" s="162">
        <f>SUM(B3:E5)/B9</f>
        <v>3.1577500000000001E-2</v>
      </c>
      <c r="D18" s="162">
        <f>SUM(B3:E5)/B9</f>
        <v>3.1577500000000001E-2</v>
      </c>
      <c r="E18" s="162">
        <f>SUM(B3:E5)/B9</f>
        <v>3.1577500000000001E-2</v>
      </c>
      <c r="F18" s="163">
        <f>SUM(B3:E5)/B9</f>
        <v>3.1577500000000001E-2</v>
      </c>
      <c r="G18" s="164">
        <f>SUM($G$3:$J$5)/G14</f>
        <v>2.9752973295110584E-2</v>
      </c>
      <c r="H18" s="165">
        <f t="shared" ref="H18:J18" si="6">SUM($G$3:$J$5)/H14</f>
        <v>2.8684001362552516E-2</v>
      </c>
      <c r="I18" s="165">
        <f t="shared" si="6"/>
        <v>2.8574983598398298E-2</v>
      </c>
      <c r="J18" s="166">
        <f t="shared" si="6"/>
        <v>2.8095423455485737E-2</v>
      </c>
    </row>
    <row r="19" spans="1:10" ht="29.4" thickBot="1">
      <c r="A19" s="136" t="s">
        <v>222</v>
      </c>
      <c r="B19" s="167">
        <f>(B3+B4+B5)/B10</f>
        <v>2.1051666666666666E-2</v>
      </c>
      <c r="C19" s="168">
        <f>(B3+B4+B5)/B10</f>
        <v>2.1051666666666666E-2</v>
      </c>
      <c r="D19" s="168">
        <f>(B3+B4+B5)/B10</f>
        <v>2.1051666666666666E-2</v>
      </c>
      <c r="E19" s="168">
        <f>(B3+B4+B5)/B10</f>
        <v>2.1051666666666666E-2</v>
      </c>
      <c r="F19" s="169">
        <f>(B3+B4+B5)/B10</f>
        <v>2.1051666666666666E-2</v>
      </c>
      <c r="G19" s="170">
        <f>(B3+B4+B5)/B10</f>
        <v>2.1051666666666666E-2</v>
      </c>
      <c r="H19" s="168">
        <f>(B3+B4+B5)/B10</f>
        <v>2.1051666666666666E-2</v>
      </c>
      <c r="I19" s="168">
        <f>(B3+B4+B5)/B10</f>
        <v>2.1051666666666666E-2</v>
      </c>
      <c r="J19" s="169">
        <f>(B3+B4+B5)/B10</f>
        <v>2.1051666666666666E-2</v>
      </c>
    </row>
  </sheetData>
  <mergeCells count="15">
    <mergeCell ref="B13:F13"/>
    <mergeCell ref="G13:J13"/>
    <mergeCell ref="B1:F1"/>
    <mergeCell ref="G1:J1"/>
    <mergeCell ref="B3:F3"/>
    <mergeCell ref="B4:F4"/>
    <mergeCell ref="B5:F5"/>
    <mergeCell ref="G3:J3"/>
    <mergeCell ref="G4:J4"/>
    <mergeCell ref="G5:J5"/>
    <mergeCell ref="A1:A2"/>
    <mergeCell ref="B9:F9"/>
    <mergeCell ref="G9:J9"/>
    <mergeCell ref="B10:F10"/>
    <mergeCell ref="G10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C3214-97AD-4D18-9D91-32EB4638F484}">
  <dimension ref="A1:H31"/>
  <sheetViews>
    <sheetView zoomScale="113" zoomScaleNormal="145" workbookViewId="0">
      <selection activeCell="H14" sqref="H14"/>
    </sheetView>
  </sheetViews>
  <sheetFormatPr defaultRowHeight="14.4"/>
  <cols>
    <col min="1" max="1" width="30.6640625" customWidth="1"/>
    <col min="2" max="2" width="13.6640625" customWidth="1"/>
    <col min="3" max="3" width="10.6640625" customWidth="1"/>
    <col min="4" max="4" width="13.6640625" customWidth="1"/>
    <col min="5" max="5" width="11" customWidth="1"/>
    <col min="6" max="6" width="15.33203125" customWidth="1"/>
    <col min="7" max="7" width="9.5546875" customWidth="1"/>
    <col min="8" max="8" width="14.6640625" customWidth="1"/>
    <col min="9" max="9" width="15.5546875" customWidth="1"/>
  </cols>
  <sheetData>
    <row r="1" spans="1:8" ht="43.8" thickBot="1">
      <c r="A1" s="64" t="s">
        <v>77</v>
      </c>
    </row>
    <row r="2" spans="1:8">
      <c r="C2" s="3"/>
      <c r="D2" s="4"/>
      <c r="E2" s="5" t="s">
        <v>11</v>
      </c>
      <c r="F2" s="6" t="s">
        <v>12</v>
      </c>
      <c r="G2" s="6" t="s">
        <v>13</v>
      </c>
      <c r="H2" s="7" t="s">
        <v>14</v>
      </c>
    </row>
    <row r="3" spans="1:8">
      <c r="C3" s="8" t="s">
        <v>15</v>
      </c>
      <c r="D3" s="9" t="s">
        <v>16</v>
      </c>
      <c r="E3" s="10">
        <v>63.5</v>
      </c>
      <c r="F3" s="9">
        <v>16</v>
      </c>
      <c r="G3" s="9">
        <v>12</v>
      </c>
      <c r="H3" s="11">
        <v>2</v>
      </c>
    </row>
    <row r="4" spans="1:8" ht="43.8" thickBot="1">
      <c r="C4" s="12" t="s">
        <v>17</v>
      </c>
      <c r="D4" s="13" t="s">
        <v>18</v>
      </c>
      <c r="E4" s="13" t="s">
        <v>19</v>
      </c>
      <c r="F4" s="13">
        <v>55</v>
      </c>
      <c r="G4" s="13">
        <v>32.799999999999997</v>
      </c>
      <c r="H4" s="14">
        <v>120</v>
      </c>
    </row>
    <row r="5" spans="1:8" ht="15" thickBot="1"/>
    <row r="6" spans="1:8" ht="22.2" customHeight="1">
      <c r="C6" s="193" t="s">
        <v>76</v>
      </c>
      <c r="D6" s="5" t="s">
        <v>20</v>
      </c>
      <c r="E6" s="5" t="s">
        <v>21</v>
      </c>
      <c r="F6" s="51" t="s">
        <v>22</v>
      </c>
    </row>
    <row r="7" spans="1:8" ht="21.6" customHeight="1">
      <c r="C7" s="194"/>
      <c r="D7" s="196">
        <f>$B$15+$B$20</f>
        <v>34.231619439398713</v>
      </c>
      <c r="E7" s="196">
        <f>$C$15+$C$20</f>
        <v>50.437739385408491</v>
      </c>
      <c r="F7" s="198">
        <f>$D$15+$D$20</f>
        <v>18.118032775862993</v>
      </c>
    </row>
    <row r="8" spans="1:8">
      <c r="C8" s="194"/>
      <c r="D8" s="196"/>
      <c r="E8" s="196"/>
      <c r="F8" s="198"/>
    </row>
    <row r="9" spans="1:8" ht="15" thickBot="1">
      <c r="C9" s="195"/>
      <c r="D9" s="197"/>
      <c r="E9" s="197"/>
      <c r="F9" s="199"/>
    </row>
    <row r="10" spans="1:8" ht="15" thickBot="1"/>
    <row r="11" spans="1:8">
      <c r="A11" s="15" t="s">
        <v>23</v>
      </c>
      <c r="B11" s="16"/>
      <c r="C11" s="16"/>
      <c r="D11" s="16"/>
      <c r="E11" s="17"/>
    </row>
    <row r="12" spans="1:8">
      <c r="A12" s="18"/>
      <c r="B12" s="19" t="s">
        <v>20</v>
      </c>
      <c r="C12" s="19" t="s">
        <v>21</v>
      </c>
      <c r="D12" s="19" t="s">
        <v>22</v>
      </c>
      <c r="E12" s="20" t="s">
        <v>24</v>
      </c>
    </row>
    <row r="13" spans="1:8">
      <c r="A13" s="21" t="s">
        <v>25</v>
      </c>
      <c r="B13" s="22">
        <v>0.125</v>
      </c>
      <c r="C13" s="22">
        <v>0.25</v>
      </c>
      <c r="D13" s="22">
        <v>0.5</v>
      </c>
      <c r="E13" s="20" t="s">
        <v>26</v>
      </c>
    </row>
    <row r="14" spans="1:8">
      <c r="A14" s="21" t="s">
        <v>27</v>
      </c>
      <c r="B14" s="22">
        <f>(10^6)*B13/$E$3</f>
        <v>1968.5039370078741</v>
      </c>
      <c r="C14" s="22">
        <f t="shared" ref="C14:D14" si="0">(10^6)*C13/$E$3</f>
        <v>3937.0078740157483</v>
      </c>
      <c r="D14" s="22">
        <f t="shared" si="0"/>
        <v>7874.0157480314965</v>
      </c>
      <c r="E14" s="20" t="s">
        <v>28</v>
      </c>
    </row>
    <row r="15" spans="1:8" ht="15" thickBot="1">
      <c r="A15" s="23" t="s">
        <v>29</v>
      </c>
      <c r="B15" s="24">
        <f>B14*F3/1000</f>
        <v>31.496062992125985</v>
      </c>
      <c r="C15" s="24">
        <f>C14*G3/1000</f>
        <v>47.244094488188978</v>
      </c>
      <c r="D15" s="24">
        <f>D14*H3/1000</f>
        <v>15.748031496062993</v>
      </c>
      <c r="E15" s="25" t="s">
        <v>30</v>
      </c>
    </row>
    <row r="16" spans="1:8" ht="15" thickBot="1">
      <c r="B16" s="26"/>
      <c r="C16" s="26"/>
      <c r="D16" s="26"/>
    </row>
    <row r="17" spans="1:5">
      <c r="A17" s="15" t="s">
        <v>31</v>
      </c>
      <c r="B17" s="16"/>
      <c r="C17" s="16"/>
      <c r="D17" s="17"/>
    </row>
    <row r="18" spans="1:5">
      <c r="A18" s="18"/>
      <c r="B18" s="19" t="s">
        <v>20</v>
      </c>
      <c r="C18" s="19" t="s">
        <v>21</v>
      </c>
      <c r="D18" s="20" t="s">
        <v>22</v>
      </c>
    </row>
    <row r="19" spans="1:5">
      <c r="A19" s="21" t="s">
        <v>32</v>
      </c>
      <c r="B19" s="27">
        <f>'SI Table 3.1'!G7</f>
        <v>150.45560459999999</v>
      </c>
      <c r="C19" s="27">
        <f>'SI Table 3.2'!G7</f>
        <v>104.75155262879998</v>
      </c>
      <c r="D19" s="28">
        <f>'SI Table 3.3'!G7</f>
        <v>284.40015357600004</v>
      </c>
      <c r="E19" s="29"/>
    </row>
    <row r="20" spans="1:5" ht="15" thickBot="1">
      <c r="A20" s="23" t="s">
        <v>33</v>
      </c>
      <c r="B20" s="24">
        <f>B19/F4</f>
        <v>2.7355564472727272</v>
      </c>
      <c r="C20" s="24">
        <f>C19/G4</f>
        <v>3.1936448972195119</v>
      </c>
      <c r="D20" s="30">
        <f>D19/H4</f>
        <v>2.3700012798000003</v>
      </c>
      <c r="E20" s="29"/>
    </row>
    <row r="21" spans="1:5" ht="15" thickBot="1">
      <c r="A21" s="29"/>
      <c r="B21" s="31"/>
      <c r="C21" s="31"/>
      <c r="D21" s="31"/>
      <c r="E21" s="29"/>
    </row>
    <row r="22" spans="1:5">
      <c r="A22" s="15" t="s">
        <v>34</v>
      </c>
      <c r="B22" s="16"/>
      <c r="C22" s="16"/>
      <c r="D22" s="17"/>
    </row>
    <row r="23" spans="1:5">
      <c r="A23" s="18"/>
      <c r="B23" s="19" t="s">
        <v>20</v>
      </c>
      <c r="C23" s="19" t="s">
        <v>21</v>
      </c>
      <c r="D23" s="20" t="s">
        <v>22</v>
      </c>
    </row>
    <row r="24" spans="1:5" ht="31.2" customHeight="1">
      <c r="A24" s="32" t="s">
        <v>32</v>
      </c>
      <c r="B24" s="189" t="s">
        <v>78</v>
      </c>
      <c r="C24" s="189"/>
      <c r="D24" s="190"/>
    </row>
    <row r="25" spans="1:5" ht="27.6" customHeight="1" thickBot="1">
      <c r="A25" s="33" t="s">
        <v>33</v>
      </c>
      <c r="B25" s="191"/>
      <c r="C25" s="191"/>
      <c r="D25" s="192"/>
    </row>
    <row r="26" spans="1:5" ht="15" thickBot="1"/>
    <row r="27" spans="1:5">
      <c r="A27" s="15" t="s">
        <v>35</v>
      </c>
      <c r="B27" s="16"/>
      <c r="C27" s="16"/>
      <c r="D27" s="17"/>
    </row>
    <row r="28" spans="1:5">
      <c r="A28" s="18"/>
      <c r="B28" s="34" t="s">
        <v>20</v>
      </c>
      <c r="C28" s="34" t="s">
        <v>21</v>
      </c>
      <c r="D28" s="35" t="s">
        <v>22</v>
      </c>
    </row>
    <row r="29" spans="1:5">
      <c r="A29" s="21" t="s">
        <v>32</v>
      </c>
      <c r="B29" s="189" t="s">
        <v>36</v>
      </c>
      <c r="C29" s="189"/>
      <c r="D29" s="190"/>
    </row>
    <row r="30" spans="1:5" ht="15" thickBot="1">
      <c r="A30" s="23" t="s">
        <v>33</v>
      </c>
      <c r="B30" s="191"/>
      <c r="C30" s="191"/>
      <c r="D30" s="192"/>
    </row>
    <row r="31" spans="1:5">
      <c r="A31" s="36"/>
    </row>
  </sheetData>
  <mergeCells count="6">
    <mergeCell ref="B29:D30"/>
    <mergeCell ref="C6:C9"/>
    <mergeCell ref="D7:D9"/>
    <mergeCell ref="E7:E9"/>
    <mergeCell ref="F7:F9"/>
    <mergeCell ref="B24:D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8EDF-F5A4-411D-8AD8-BB4031D21BE1}">
  <dimension ref="A1:G17"/>
  <sheetViews>
    <sheetView zoomScale="98" workbookViewId="0">
      <selection sqref="A1:B1"/>
    </sheetView>
  </sheetViews>
  <sheetFormatPr defaultRowHeight="14.4"/>
  <cols>
    <col min="1" max="1" width="8.88671875" customWidth="1"/>
    <col min="2" max="2" width="13.6640625" customWidth="1"/>
    <col min="6" max="6" width="18.33203125" customWidth="1"/>
    <col min="7" max="7" width="6.5546875" bestFit="1" customWidth="1"/>
  </cols>
  <sheetData>
    <row r="1" spans="1:7" ht="60.6" customHeight="1">
      <c r="A1" s="179" t="s">
        <v>79</v>
      </c>
      <c r="B1" s="180"/>
    </row>
    <row r="2" spans="1:7">
      <c r="A2" s="19" t="s">
        <v>47</v>
      </c>
      <c r="B2" s="19" t="s">
        <v>0</v>
      </c>
    </row>
    <row r="3" spans="1:7" ht="57.6">
      <c r="A3" s="9">
        <v>300</v>
      </c>
      <c r="B3" s="9">
        <v>35.707999999999998</v>
      </c>
      <c r="D3" s="43" t="s">
        <v>1</v>
      </c>
      <c r="E3" s="1">
        <f xml:space="preserve"> -0.00002/3*(A3^3) + 0.0768/2*(A3)^2 + 13.173*A3</f>
        <v>7227.9</v>
      </c>
    </row>
    <row r="4" spans="1:7">
      <c r="A4" s="9">
        <v>350</v>
      </c>
      <c r="B4" s="9">
        <v>37.874000000000002</v>
      </c>
    </row>
    <row r="5" spans="1:7">
      <c r="A5" s="9">
        <v>400</v>
      </c>
      <c r="B5" s="9">
        <v>40.5</v>
      </c>
    </row>
    <row r="6" spans="1:7">
      <c r="A6" s="9">
        <v>450</v>
      </c>
      <c r="B6" s="9">
        <v>43.374000000000002</v>
      </c>
    </row>
    <row r="7" spans="1:7" ht="28.8">
      <c r="A7" s="9">
        <v>500</v>
      </c>
      <c r="B7" s="9">
        <v>46.341999999999999</v>
      </c>
      <c r="F7" s="43" t="s">
        <v>48</v>
      </c>
      <c r="G7" s="22">
        <f>(E17-E3)*1968.5/1000000</f>
        <v>150.45560459999999</v>
      </c>
    </row>
    <row r="8" spans="1:7">
      <c r="A8" s="9">
        <v>600</v>
      </c>
      <c r="B8" s="9">
        <v>52.226999999999997</v>
      </c>
    </row>
    <row r="9" spans="1:7">
      <c r="A9" s="9">
        <v>700</v>
      </c>
      <c r="B9" s="9">
        <v>57.793999999999997</v>
      </c>
    </row>
    <row r="10" spans="1:7">
      <c r="A10" s="9">
        <v>800</v>
      </c>
      <c r="B10" s="9">
        <v>62.932000000000002</v>
      </c>
    </row>
    <row r="11" spans="1:7">
      <c r="A11" s="9">
        <v>900</v>
      </c>
      <c r="B11" s="9">
        <v>67.600999999999999</v>
      </c>
    </row>
    <row r="12" spans="1:7">
      <c r="A12" s="9">
        <v>1000</v>
      </c>
      <c r="B12" s="9">
        <v>71.795000000000002</v>
      </c>
    </row>
    <row r="13" spans="1:7">
      <c r="A13" s="9">
        <v>1100</v>
      </c>
      <c r="B13" s="9">
        <v>75.528999999999996</v>
      </c>
    </row>
    <row r="14" spans="1:7">
      <c r="A14" s="9">
        <v>1200</v>
      </c>
      <c r="B14" s="9">
        <v>78.832999999999998</v>
      </c>
    </row>
    <row r="15" spans="1:7">
      <c r="A15" s="9">
        <v>1300</v>
      </c>
      <c r="B15" s="9">
        <v>81.744</v>
      </c>
    </row>
    <row r="16" spans="1:7">
      <c r="A16" s="9">
        <v>1400</v>
      </c>
      <c r="B16" s="9">
        <v>84.305000000000007</v>
      </c>
    </row>
    <row r="17" spans="1:5" ht="57.6">
      <c r="A17" s="9">
        <v>1500</v>
      </c>
      <c r="B17" s="9">
        <v>86.555999999999997</v>
      </c>
      <c r="D17" s="43" t="s">
        <v>2</v>
      </c>
      <c r="E17" s="1">
        <f xml:space="preserve"> -0.00002/3*(A17^3) + 0.0768/2*(A17)^2 + 13.173*A17</f>
        <v>83659.499999999985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21B3-8649-4D9D-86EE-784A93ECE9B2}">
  <dimension ref="A1:G17"/>
  <sheetViews>
    <sheetView zoomScale="101" zoomScaleNormal="115" workbookViewId="0">
      <selection sqref="A1:B1"/>
    </sheetView>
  </sheetViews>
  <sheetFormatPr defaultRowHeight="14.4"/>
  <cols>
    <col min="2" max="2" width="14.6640625" bestFit="1" customWidth="1"/>
    <col min="6" max="6" width="14.5546875" customWidth="1"/>
    <col min="7" max="7" width="5.6640625" bestFit="1" customWidth="1"/>
  </cols>
  <sheetData>
    <row r="1" spans="1:7" ht="45" customHeight="1">
      <c r="A1" s="179" t="s">
        <v>80</v>
      </c>
      <c r="B1" s="180"/>
    </row>
    <row r="2" spans="1:7">
      <c r="A2" s="49" t="s">
        <v>47</v>
      </c>
      <c r="B2" s="49" t="s">
        <v>0</v>
      </c>
    </row>
    <row r="3" spans="1:7" ht="43.2">
      <c r="A3" s="9">
        <v>300</v>
      </c>
      <c r="B3" s="9">
        <v>8.5809999999999995</v>
      </c>
      <c r="D3" s="43" t="s">
        <v>3</v>
      </c>
      <c r="E3" s="1">
        <f xml:space="preserve"> -0.00001/3*(A3^3) + 0.0351/2*(A3)^2 - 0.1176*A3</f>
        <v>1454.22</v>
      </c>
    </row>
    <row r="4" spans="1:7">
      <c r="A4" s="9">
        <v>350</v>
      </c>
      <c r="B4" s="9">
        <v>10.241</v>
      </c>
    </row>
    <row r="5" spans="1:7">
      <c r="A5" s="9">
        <v>400</v>
      </c>
      <c r="B5" s="9">
        <v>11.817</v>
      </c>
    </row>
    <row r="6" spans="1:7">
      <c r="A6" s="9">
        <v>450</v>
      </c>
      <c r="B6" s="9">
        <v>13.289</v>
      </c>
    </row>
    <row r="7" spans="1:7" ht="28.8">
      <c r="A7" s="9">
        <v>500</v>
      </c>
      <c r="B7" s="9">
        <v>14.622999999999999</v>
      </c>
      <c r="F7" s="43" t="s">
        <v>49</v>
      </c>
      <c r="G7" s="50">
        <f>(E17-E3)*3937.01/1000000</f>
        <v>104.75155262879998</v>
      </c>
    </row>
    <row r="8" spans="1:7">
      <c r="A8" s="9">
        <v>600</v>
      </c>
      <c r="B8" s="9">
        <v>16.844000000000001</v>
      </c>
    </row>
    <row r="9" spans="1:7">
      <c r="A9" s="9">
        <v>700</v>
      </c>
      <c r="B9" s="9">
        <v>18.536999999999999</v>
      </c>
    </row>
    <row r="10" spans="1:7">
      <c r="A10" s="9">
        <v>800</v>
      </c>
      <c r="B10" s="9">
        <v>19.827000000000002</v>
      </c>
    </row>
    <row r="11" spans="1:7">
      <c r="A11" s="9">
        <v>900</v>
      </c>
      <c r="B11" s="9">
        <v>20.824000000000002</v>
      </c>
    </row>
    <row r="12" spans="1:7">
      <c r="A12" s="9">
        <v>1000</v>
      </c>
      <c r="B12" s="9">
        <v>21.61</v>
      </c>
    </row>
    <row r="13" spans="1:7">
      <c r="A13" s="9">
        <v>1100</v>
      </c>
      <c r="B13" s="9">
        <v>22.244</v>
      </c>
    </row>
    <row r="14" spans="1:7">
      <c r="A14" s="9">
        <v>1200</v>
      </c>
      <c r="B14" s="9">
        <v>22.765999999999998</v>
      </c>
    </row>
    <row r="15" spans="1:7">
      <c r="A15" s="9">
        <v>1300</v>
      </c>
      <c r="B15" s="9">
        <v>23.204000000000001</v>
      </c>
    </row>
    <row r="16" spans="1:7">
      <c r="A16" s="9">
        <v>1400</v>
      </c>
      <c r="B16" s="9">
        <v>23.577999999999999</v>
      </c>
    </row>
    <row r="17" spans="1:5" ht="43.2">
      <c r="A17" s="9">
        <v>1500</v>
      </c>
      <c r="B17" s="9">
        <v>23.904</v>
      </c>
      <c r="D17" s="43" t="s">
        <v>4</v>
      </c>
      <c r="E17" s="1">
        <f xml:space="preserve"> -0.00001/3*(A17^3) + 0.0351/2*(A17)^2 - 0.1176*A17</f>
        <v>28061.1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A00D8-0DEE-451C-8F59-A6C97643C464}">
  <dimension ref="A1:G17"/>
  <sheetViews>
    <sheetView zoomScale="93" workbookViewId="0">
      <selection activeCell="G7" sqref="G7"/>
    </sheetView>
  </sheetViews>
  <sheetFormatPr defaultRowHeight="14.4"/>
  <cols>
    <col min="2" max="2" width="11.109375" bestFit="1" customWidth="1"/>
    <col min="6" max="6" width="16" customWidth="1"/>
    <col min="7" max="7" width="6.88671875" bestFit="1" customWidth="1"/>
  </cols>
  <sheetData>
    <row r="1" spans="1:7" ht="59.4" customHeight="1">
      <c r="A1" s="179" t="s">
        <v>81</v>
      </c>
      <c r="B1" s="180"/>
    </row>
    <row r="2" spans="1:7">
      <c r="A2" s="19" t="s">
        <v>47</v>
      </c>
      <c r="B2" s="19" t="s">
        <v>0</v>
      </c>
    </row>
    <row r="3" spans="1:7" ht="43.2">
      <c r="A3" s="9">
        <v>300</v>
      </c>
      <c r="B3" s="9">
        <v>28.849</v>
      </c>
      <c r="D3" s="43" t="s">
        <v>5</v>
      </c>
      <c r="E3" s="1">
        <f xml:space="preserve"> 0.000002/3*(A3^3) -0.001/2*(A3)^2 + 29.139*A3</f>
        <v>8714.6999999999989</v>
      </c>
    </row>
    <row r="4" spans="1:7">
      <c r="A4" s="9">
        <v>350</v>
      </c>
      <c r="B4" s="9">
        <v>29.081</v>
      </c>
    </row>
    <row r="5" spans="1:7">
      <c r="A5" s="9">
        <v>400</v>
      </c>
      <c r="B5" s="9">
        <v>29.181000000000001</v>
      </c>
    </row>
    <row r="6" spans="1:7">
      <c r="A6" s="9">
        <v>450</v>
      </c>
      <c r="B6" s="9">
        <v>29.228999999999999</v>
      </c>
    </row>
    <row r="7" spans="1:7" ht="28.8">
      <c r="A7" s="9">
        <v>500</v>
      </c>
      <c r="B7" s="9">
        <v>29.26</v>
      </c>
      <c r="F7" s="43" t="s">
        <v>50</v>
      </c>
      <c r="G7" s="22">
        <f>(E17-E3)*7874.02/1000000</f>
        <v>284.40015357600004</v>
      </c>
    </row>
    <row r="8" spans="1:7">
      <c r="A8" s="9">
        <v>600</v>
      </c>
      <c r="B8" s="9">
        <v>29.327000000000002</v>
      </c>
    </row>
    <row r="9" spans="1:7">
      <c r="A9" s="9">
        <v>700</v>
      </c>
      <c r="B9" s="9">
        <v>29.440999999999999</v>
      </c>
    </row>
    <row r="10" spans="1:7">
      <c r="A10" s="9">
        <v>800</v>
      </c>
      <c r="B10" s="9">
        <v>29.623999999999999</v>
      </c>
    </row>
    <row r="11" spans="1:7">
      <c r="A11" s="9">
        <v>900</v>
      </c>
      <c r="B11" s="9">
        <v>29.881</v>
      </c>
    </row>
    <row r="12" spans="1:7">
      <c r="A12" s="9">
        <v>1000</v>
      </c>
      <c r="B12" s="9">
        <v>30.204999999999998</v>
      </c>
    </row>
    <row r="13" spans="1:7">
      <c r="A13" s="9">
        <v>1100</v>
      </c>
      <c r="B13" s="9">
        <v>30.581</v>
      </c>
    </row>
    <row r="14" spans="1:7">
      <c r="A14" s="9">
        <v>1200</v>
      </c>
      <c r="B14" s="9">
        <v>30.992000000000001</v>
      </c>
    </row>
    <row r="15" spans="1:7">
      <c r="A15" s="9">
        <v>1300</v>
      </c>
      <c r="B15" s="9">
        <v>31.422999999999998</v>
      </c>
    </row>
    <row r="16" spans="1:7">
      <c r="A16" s="9">
        <v>1400</v>
      </c>
      <c r="B16" s="9">
        <v>31.861000000000001</v>
      </c>
    </row>
    <row r="17" spans="1:5" ht="43.2">
      <c r="A17" s="9">
        <v>1500</v>
      </c>
      <c r="B17" s="9">
        <v>32.298000000000002</v>
      </c>
      <c r="D17" s="43" t="s">
        <v>6</v>
      </c>
      <c r="E17" s="1">
        <f xml:space="preserve"> 0.000002/3*(A17^3) -0.001/2*(A17)^2 + 29.139*A17</f>
        <v>44833.5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1ED5F-DD21-48B1-92E6-EF794989506F}">
  <dimension ref="A1:G15"/>
  <sheetViews>
    <sheetView zoomScale="96" zoomScaleNormal="100" workbookViewId="0">
      <selection activeCell="O24" sqref="O24"/>
    </sheetView>
  </sheetViews>
  <sheetFormatPr defaultRowHeight="14.4"/>
  <cols>
    <col min="2" max="2" width="11.109375" bestFit="1" customWidth="1"/>
    <col min="6" max="6" width="22.44140625" customWidth="1"/>
    <col min="7" max="7" width="6.44140625" customWidth="1"/>
  </cols>
  <sheetData>
    <row r="1" spans="1:7" ht="56.4" customHeight="1">
      <c r="A1" s="179" t="s">
        <v>82</v>
      </c>
      <c r="B1" s="180"/>
    </row>
    <row r="2" spans="1:7">
      <c r="A2" s="46" t="s">
        <v>47</v>
      </c>
      <c r="B2" s="19" t="s">
        <v>0</v>
      </c>
    </row>
    <row r="3" spans="1:7">
      <c r="A3" s="47">
        <v>300</v>
      </c>
      <c r="B3" s="1">
        <v>62.664000000000001</v>
      </c>
    </row>
    <row r="4" spans="1:7" ht="57.6">
      <c r="A4" s="45">
        <v>400</v>
      </c>
      <c r="B4" s="45">
        <v>67.688000000000002</v>
      </c>
      <c r="D4" s="43" t="s">
        <v>7</v>
      </c>
      <c r="E4" s="1">
        <f>-0.00002/3*(A12^3) + 0.0768/2*(A12^2) + 13.173*A12</f>
        <v>59583.599999999991</v>
      </c>
    </row>
    <row r="5" spans="1:7" ht="28.8">
      <c r="A5" s="1">
        <v>500</v>
      </c>
      <c r="B5" s="1">
        <v>70.921999999999997</v>
      </c>
      <c r="F5" s="43" t="s">
        <v>46</v>
      </c>
      <c r="G5" s="22">
        <f>(E15-E4)*120/1000000</f>
        <v>2.8891079999999989</v>
      </c>
    </row>
    <row r="6" spans="1:7">
      <c r="A6" s="45">
        <v>600</v>
      </c>
      <c r="B6" s="45">
        <v>73.447999999999993</v>
      </c>
    </row>
    <row r="7" spans="1:7">
      <c r="A7" s="1">
        <v>700</v>
      </c>
      <c r="B7" s="1">
        <v>75.644999999999996</v>
      </c>
    </row>
    <row r="8" spans="1:7">
      <c r="A8" s="45">
        <v>800</v>
      </c>
      <c r="B8" s="45">
        <v>77.665999999999997</v>
      </c>
    </row>
    <row r="9" spans="1:7">
      <c r="A9" s="1">
        <v>900</v>
      </c>
      <c r="B9" s="1">
        <v>79.492999999999995</v>
      </c>
    </row>
    <row r="10" spans="1:7">
      <c r="A10" s="45">
        <v>1000</v>
      </c>
      <c r="B10" s="45">
        <v>81.245000000000005</v>
      </c>
    </row>
    <row r="11" spans="1:7">
      <c r="A11" s="1">
        <v>1100</v>
      </c>
      <c r="B11" s="1">
        <v>83.385000000000005</v>
      </c>
    </row>
    <row r="12" spans="1:7">
      <c r="A12" s="45">
        <v>1200</v>
      </c>
      <c r="B12" s="45">
        <v>86.11</v>
      </c>
    </row>
    <row r="13" spans="1:7">
      <c r="A13" s="1">
        <v>1300</v>
      </c>
      <c r="B13" s="1">
        <v>89.173000000000002</v>
      </c>
    </row>
    <row r="14" spans="1:7">
      <c r="A14" s="1">
        <v>1400</v>
      </c>
      <c r="B14" s="1">
        <v>92.489000000000004</v>
      </c>
    </row>
    <row r="15" spans="1:7" ht="57.6">
      <c r="A15" s="44">
        <v>1500</v>
      </c>
      <c r="B15" s="44">
        <v>95.986999999999995</v>
      </c>
      <c r="D15" s="43" t="s">
        <v>8</v>
      </c>
      <c r="E15" s="1">
        <f>-0.00002/3*(A15^3) + 0.0768/2*(A15^2) + 13.173*A15</f>
        <v>83659.499999999985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3DF8-7F5A-4E97-95D2-8053CA702D7A}">
  <dimension ref="A1:U21"/>
  <sheetViews>
    <sheetView workbookViewId="0">
      <selection sqref="A1:B1"/>
    </sheetView>
  </sheetViews>
  <sheetFormatPr defaultRowHeight="14.4"/>
  <cols>
    <col min="2" max="2" width="11.109375" bestFit="1" customWidth="1"/>
    <col min="6" max="6" width="23.33203125" customWidth="1"/>
    <col min="7" max="7" width="4.5546875" bestFit="1" customWidth="1"/>
  </cols>
  <sheetData>
    <row r="1" spans="1:21" ht="46.2" customHeight="1">
      <c r="A1" s="179" t="s">
        <v>83</v>
      </c>
      <c r="B1" s="180"/>
    </row>
    <row r="2" spans="1:21">
      <c r="A2" s="19" t="s">
        <v>47</v>
      </c>
      <c r="B2" s="19" t="s">
        <v>0</v>
      </c>
    </row>
    <row r="3" spans="1:21" ht="28.8">
      <c r="A3" s="1">
        <v>300</v>
      </c>
      <c r="B3" s="48">
        <v>0.71799999999999997</v>
      </c>
      <c r="D3" s="43" t="s">
        <v>9</v>
      </c>
      <c r="E3" s="1">
        <f>-0.00000002/3*(A3^3) + 0.0002/2*(A3^2) + 0.6378*A3</f>
        <v>200.16</v>
      </c>
      <c r="U3" s="2"/>
    </row>
    <row r="4" spans="1:21">
      <c r="A4" s="1">
        <v>350</v>
      </c>
      <c r="B4" s="48">
        <v>0.72099999999999997</v>
      </c>
      <c r="U4" s="2"/>
    </row>
    <row r="5" spans="1:21" ht="28.8">
      <c r="A5" s="1">
        <v>400</v>
      </c>
      <c r="B5" s="48">
        <v>0.72599999999999998</v>
      </c>
      <c r="F5" s="43" t="s">
        <v>51</v>
      </c>
      <c r="G5" s="22">
        <f>((E15-E3)*3937/1000000*7812.5)/1000000</f>
        <v>2.9497972500000004E-2</v>
      </c>
      <c r="U5" s="2"/>
    </row>
    <row r="6" spans="1:21">
      <c r="A6" s="1">
        <v>450</v>
      </c>
      <c r="B6" s="48">
        <v>0.73299999999999998</v>
      </c>
      <c r="U6" s="2"/>
    </row>
    <row r="7" spans="1:21">
      <c r="A7" s="1">
        <v>500</v>
      </c>
      <c r="B7" s="48">
        <v>0.74199999999999999</v>
      </c>
      <c r="U7" s="2"/>
    </row>
    <row r="8" spans="1:21">
      <c r="A8" s="1">
        <v>550</v>
      </c>
      <c r="B8" s="48">
        <v>0.753</v>
      </c>
      <c r="U8" s="2"/>
    </row>
    <row r="9" spans="1:21">
      <c r="A9" s="1">
        <v>600</v>
      </c>
      <c r="B9" s="48">
        <v>0.76400000000000001</v>
      </c>
      <c r="U9" s="2"/>
    </row>
    <row r="10" spans="1:21">
      <c r="A10" s="1">
        <v>650</v>
      </c>
      <c r="B10" s="48">
        <v>0.77600000000000002</v>
      </c>
      <c r="U10" s="2"/>
    </row>
    <row r="11" spans="1:21">
      <c r="A11" s="1">
        <v>700</v>
      </c>
      <c r="B11" s="48">
        <v>0.78800000000000003</v>
      </c>
      <c r="U11" s="2"/>
    </row>
    <row r="12" spans="1:21">
      <c r="A12" s="1">
        <v>750</v>
      </c>
      <c r="B12" s="48">
        <v>0.8</v>
      </c>
      <c r="U12" s="2"/>
    </row>
    <row r="13" spans="1:21">
      <c r="A13" s="1">
        <v>800</v>
      </c>
      <c r="B13" s="48">
        <v>0.81200000000000006</v>
      </c>
      <c r="U13" s="2"/>
    </row>
    <row r="14" spans="1:21">
      <c r="A14" s="1">
        <v>900</v>
      </c>
      <c r="B14" s="48">
        <v>0.83399999999999996</v>
      </c>
      <c r="U14" s="2"/>
    </row>
    <row r="15" spans="1:21" ht="28.8">
      <c r="A15" s="1">
        <v>1000</v>
      </c>
      <c r="B15" s="48">
        <v>0.85499999999999998</v>
      </c>
      <c r="D15" s="43" t="s">
        <v>10</v>
      </c>
      <c r="E15" s="1">
        <f>-0.00000002/3*(A20^3) + 0.0002/2*(A20^2) + 0.6378*A20</f>
        <v>1159.2</v>
      </c>
      <c r="U15" s="2"/>
    </row>
    <row r="16" spans="1:21">
      <c r="A16" s="1">
        <v>1100</v>
      </c>
      <c r="B16" s="48">
        <v>0.86799999999999999</v>
      </c>
      <c r="U16" s="2"/>
    </row>
    <row r="17" spans="1:21">
      <c r="A17" s="1">
        <v>1200</v>
      </c>
      <c r="B17" s="48">
        <v>0.88600000000000001</v>
      </c>
      <c r="U17" s="2"/>
    </row>
    <row r="18" spans="1:21">
      <c r="A18" s="1">
        <v>1300</v>
      </c>
      <c r="B18" s="48">
        <v>0.90300000000000002</v>
      </c>
      <c r="U18" s="2"/>
    </row>
    <row r="19" spans="1:21">
      <c r="A19" s="1">
        <v>1400</v>
      </c>
      <c r="B19" s="48">
        <v>0.91700000000000004</v>
      </c>
      <c r="U19" s="2"/>
    </row>
    <row r="20" spans="1:21">
      <c r="A20" s="1">
        <v>1500</v>
      </c>
      <c r="B20" s="48">
        <v>0.92900000000000005</v>
      </c>
      <c r="U20" s="2"/>
    </row>
    <row r="21" spans="1:21">
      <c r="B21" s="2"/>
      <c r="U21" s="2"/>
    </row>
  </sheetData>
  <mergeCells count="1">
    <mergeCell ref="A1:B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3376C-A2C7-43AC-9455-A4CFEF4252A4}">
  <dimension ref="A1:M18"/>
  <sheetViews>
    <sheetView zoomScale="81" zoomScaleNormal="70" workbookViewId="0">
      <selection activeCell="G12" sqref="G12"/>
    </sheetView>
  </sheetViews>
  <sheetFormatPr defaultColWidth="8.88671875" defaultRowHeight="14.4"/>
  <cols>
    <col min="1" max="1" width="20" style="85" customWidth="1"/>
    <col min="2" max="2" width="19.88671875" style="85" customWidth="1"/>
    <col min="3" max="3" width="14.44140625" style="85" customWidth="1"/>
    <col min="4" max="4" width="15.109375" style="85" customWidth="1"/>
    <col min="5" max="5" width="12.88671875" style="85" customWidth="1"/>
    <col min="6" max="6" width="53.33203125" style="85" customWidth="1"/>
    <col min="7" max="7" width="15.109375" style="85" customWidth="1"/>
    <col min="8" max="10" width="8.88671875" style="85"/>
    <col min="11" max="11" width="16.33203125" style="85" customWidth="1"/>
    <col min="12" max="12" width="25.44140625" style="85" customWidth="1"/>
    <col min="13" max="13" width="22" style="85" customWidth="1"/>
    <col min="14" max="16384" width="8.88671875" style="85"/>
  </cols>
  <sheetData>
    <row r="1" spans="1:13" ht="22.2" customHeight="1">
      <c r="A1" s="179" t="s">
        <v>209</v>
      </c>
      <c r="B1" s="180"/>
    </row>
    <row r="2" spans="1:13" ht="72">
      <c r="A2" s="84" t="s">
        <v>94</v>
      </c>
      <c r="B2" s="74" t="s">
        <v>95</v>
      </c>
      <c r="C2" s="75" t="s">
        <v>96</v>
      </c>
      <c r="D2" s="74" t="s">
        <v>97</v>
      </c>
      <c r="E2" s="75" t="s">
        <v>98</v>
      </c>
      <c r="F2" s="135" t="s">
        <v>99</v>
      </c>
      <c r="K2" s="84" t="s">
        <v>94</v>
      </c>
      <c r="L2" s="74" t="s">
        <v>100</v>
      </c>
      <c r="M2" s="74" t="s">
        <v>101</v>
      </c>
    </row>
    <row r="3" spans="1:13" ht="43.2">
      <c r="A3" s="86" t="s">
        <v>20</v>
      </c>
      <c r="B3" s="87">
        <v>0.4</v>
      </c>
      <c r="C3" s="87" t="s">
        <v>19</v>
      </c>
      <c r="D3" s="87">
        <v>0.6</v>
      </c>
      <c r="E3" s="87" t="s">
        <v>19</v>
      </c>
      <c r="F3" s="133" t="s">
        <v>102</v>
      </c>
      <c r="K3" s="86" t="s">
        <v>103</v>
      </c>
      <c r="L3" s="9">
        <v>0.3</v>
      </c>
      <c r="M3" s="9">
        <v>0.7</v>
      </c>
    </row>
    <row r="4" spans="1:13">
      <c r="A4" s="86" t="s">
        <v>54</v>
      </c>
      <c r="B4" s="87">
        <v>0.1</v>
      </c>
      <c r="C4" s="87" t="s">
        <v>19</v>
      </c>
      <c r="D4" s="87">
        <v>0.38</v>
      </c>
      <c r="E4" s="87" t="s">
        <v>19</v>
      </c>
      <c r="F4" s="133" t="s">
        <v>104</v>
      </c>
      <c r="K4" s="86" t="s">
        <v>105</v>
      </c>
      <c r="L4" s="9">
        <v>0.9</v>
      </c>
      <c r="M4" s="9">
        <v>1</v>
      </c>
    </row>
    <row r="5" spans="1:13">
      <c r="A5" s="86" t="s">
        <v>88</v>
      </c>
      <c r="B5" s="87" t="s">
        <v>19</v>
      </c>
      <c r="C5" s="87">
        <v>4</v>
      </c>
      <c r="D5" s="87" t="s">
        <v>19</v>
      </c>
      <c r="E5" s="87">
        <v>12</v>
      </c>
      <c r="F5" s="133" t="s">
        <v>106</v>
      </c>
      <c r="K5" s="86" t="s">
        <v>107</v>
      </c>
      <c r="L5" s="9">
        <v>0.47589999999999999</v>
      </c>
      <c r="M5" s="9">
        <v>0.47589999999999999</v>
      </c>
    </row>
    <row r="6" spans="1:13" ht="43.2">
      <c r="A6" s="86" t="s">
        <v>89</v>
      </c>
      <c r="B6" s="87" t="s">
        <v>19</v>
      </c>
      <c r="C6" s="87">
        <v>2.5</v>
      </c>
      <c r="D6" s="87" t="s">
        <v>19</v>
      </c>
      <c r="E6" s="87">
        <v>7</v>
      </c>
      <c r="F6" s="133" t="s">
        <v>108</v>
      </c>
      <c r="K6" s="86" t="s">
        <v>68</v>
      </c>
      <c r="L6" s="9">
        <v>5.0000000000000001E-3</v>
      </c>
      <c r="M6" s="9">
        <v>8.9999999999999993E-3</v>
      </c>
    </row>
    <row r="7" spans="1:13" ht="43.2">
      <c r="A7" s="86" t="s">
        <v>90</v>
      </c>
      <c r="B7" s="87" t="s">
        <v>19</v>
      </c>
      <c r="C7" s="87">
        <v>1.5</v>
      </c>
      <c r="D7" s="87" t="s">
        <v>19</v>
      </c>
      <c r="E7" s="87">
        <v>3</v>
      </c>
      <c r="F7" s="133" t="s">
        <v>108</v>
      </c>
    </row>
    <row r="8" spans="1:13">
      <c r="A8" s="200" t="s">
        <v>109</v>
      </c>
      <c r="B8" s="200"/>
      <c r="C8" s="200"/>
      <c r="D8" s="200"/>
      <c r="E8" s="200"/>
      <c r="F8" s="200"/>
    </row>
    <row r="9" spans="1:13" ht="43.2">
      <c r="A9" s="86" t="s">
        <v>117</v>
      </c>
      <c r="B9" s="87">
        <v>0.3</v>
      </c>
      <c r="C9" s="87">
        <f>B9*50</f>
        <v>15</v>
      </c>
      <c r="D9" s="87">
        <v>0.7</v>
      </c>
      <c r="E9" s="87">
        <f>D9*50</f>
        <v>35</v>
      </c>
      <c r="F9" s="133" t="s">
        <v>110</v>
      </c>
    </row>
    <row r="10" spans="1:13" ht="43.2">
      <c r="A10" s="86" t="s">
        <v>118</v>
      </c>
      <c r="B10" s="87">
        <v>0.9</v>
      </c>
      <c r="C10" s="87">
        <f>B10*50</f>
        <v>45</v>
      </c>
      <c r="D10" s="87">
        <v>1</v>
      </c>
      <c r="E10" s="87">
        <f>D10*50</f>
        <v>50</v>
      </c>
      <c r="F10" s="133" t="s">
        <v>110</v>
      </c>
    </row>
    <row r="11" spans="1:13" ht="27.6">
      <c r="A11" s="86" t="s">
        <v>119</v>
      </c>
      <c r="B11" s="87">
        <v>0.47589999999999999</v>
      </c>
      <c r="C11" s="87">
        <f t="shared" ref="C11" si="0">B11*50</f>
        <v>23.794999999999998</v>
      </c>
      <c r="D11" s="87">
        <v>0.47589999999999999</v>
      </c>
      <c r="E11" s="87">
        <f>D11*50</f>
        <v>23.794999999999998</v>
      </c>
      <c r="F11" s="134" t="s">
        <v>111</v>
      </c>
    </row>
    <row r="12" spans="1:13" ht="28.8">
      <c r="A12" s="86" t="s">
        <v>120</v>
      </c>
      <c r="B12" s="87">
        <v>5.0000000000000001E-3</v>
      </c>
      <c r="C12" s="87">
        <f>B12*50</f>
        <v>0.25</v>
      </c>
      <c r="D12" s="87">
        <v>8.9999999999999993E-3</v>
      </c>
      <c r="E12" s="87">
        <f>D12*50</f>
        <v>0.44999999999999996</v>
      </c>
      <c r="F12" s="133" t="s">
        <v>112</v>
      </c>
      <c r="G12" s="88"/>
    </row>
    <row r="13" spans="1:13" ht="27.6">
      <c r="A13" s="86" t="s">
        <v>206</v>
      </c>
      <c r="B13" s="87">
        <v>0.33428999999999998</v>
      </c>
      <c r="C13" s="87">
        <f t="shared" ref="C13" si="1">B13*50</f>
        <v>16.714499999999997</v>
      </c>
      <c r="D13" s="87">
        <v>0.33428999999999998</v>
      </c>
      <c r="E13" s="87">
        <f>D13*50</f>
        <v>16.714499999999997</v>
      </c>
      <c r="F13" s="134" t="s">
        <v>111</v>
      </c>
      <c r="G13" s="88"/>
    </row>
    <row r="15" spans="1:13">
      <c r="A15" s="200" t="s">
        <v>113</v>
      </c>
      <c r="B15" s="200"/>
    </row>
    <row r="16" spans="1:13">
      <c r="A16" s="89" t="s">
        <v>114</v>
      </c>
      <c r="B16" s="89">
        <v>34.24</v>
      </c>
    </row>
    <row r="17" spans="1:2">
      <c r="A17" s="89" t="s">
        <v>115</v>
      </c>
      <c r="B17" s="89">
        <v>50.43</v>
      </c>
    </row>
    <row r="18" spans="1:2">
      <c r="A18" s="89" t="s">
        <v>116</v>
      </c>
      <c r="B18" s="89">
        <v>18.12</v>
      </c>
    </row>
  </sheetData>
  <mergeCells count="3">
    <mergeCell ref="A8:F8"/>
    <mergeCell ref="A15:B15"/>
    <mergeCell ref="A1:B1"/>
  </mergeCells>
  <hyperlinks>
    <hyperlink ref="F11" r:id="rId1" xr:uid="{5A016B4C-2F8D-49C5-8B68-FF369A7C921E}"/>
    <hyperlink ref="F9" r:id="rId2" location=":~:text=In%202018%2C%20total%20U.S.%20electricity,of%20CO2%20emissions%20per%20kWh." xr:uid="{3456CF52-65AD-41B7-A656-E6A2D2FAD6A2}"/>
    <hyperlink ref="F10" r:id="rId3" location=":~:text=In%202018%2C%20total%20U.S.%20electricity,of%20CO2%20emissions%20per%20kWh." xr:uid="{BF59164B-81D8-4367-A2D7-CC4357F60E3E}"/>
    <hyperlink ref="F12" r:id="rId4" xr:uid="{1E57DAC7-A2F1-4305-9FF5-4FCA2FCD90A0}"/>
    <hyperlink ref="F4" r:id="rId5" xr:uid="{DEFA48E2-82F9-4EDE-914A-A003FD808731}"/>
    <hyperlink ref="F3" r:id="rId6" xr:uid="{224B1CF7-BDA5-4389-9A3E-0333677E0B78}"/>
    <hyperlink ref="F5" r:id="rId7" xr:uid="{5810FAF4-FD6B-4CDE-8F8F-ED21E32CB6D3}"/>
    <hyperlink ref="F7" r:id="rId8" xr:uid="{93645540-1604-4C21-B1EC-035514A7C5A4}"/>
    <hyperlink ref="F6" r:id="rId9" xr:uid="{4075C6A3-0077-434F-B27A-4C9F30ACDD84}"/>
    <hyperlink ref="F13" r:id="rId10" xr:uid="{880C074C-D88A-4840-B0B5-24C8DBEBCEF6}"/>
  </hyperlinks>
  <pageMargins left="0.7" right="0.7" top="0.75" bottom="0.75" header="0.3" footer="0.3"/>
  <pageSetup paperSize="9" orientation="portrait" horizontalDpi="300" verticalDpi="300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a57f26-ff04-49ce-b7e1-c3cccc0222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1F812FD0EB6241B67DD751F97DC12F" ma:contentTypeVersion="8" ma:contentTypeDescription="Create a new document." ma:contentTypeScope="" ma:versionID="c25d75542f6255ead7e329305597cd99">
  <xsd:schema xmlns:xsd="http://www.w3.org/2001/XMLSchema" xmlns:xs="http://www.w3.org/2001/XMLSchema" xmlns:p="http://schemas.microsoft.com/office/2006/metadata/properties" xmlns:ns3="dba57f26-ff04-49ce-b7e1-c3cccc022296" xmlns:ns4="49dcf445-8db9-4d31-8ef6-41946515995b" targetNamespace="http://schemas.microsoft.com/office/2006/metadata/properties" ma:root="true" ma:fieldsID="87f77fa6447778cf790a9f6564e43fd1" ns3:_="" ns4:_="">
    <xsd:import namespace="dba57f26-ff04-49ce-b7e1-c3cccc022296"/>
    <xsd:import namespace="49dcf445-8db9-4d31-8ef6-4194651599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57f26-ff04-49ce-b7e1-c3cccc022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cf445-8db9-4d31-8ef6-419465159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C89C6F-7429-4520-813F-A18F349E647F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49dcf445-8db9-4d31-8ef6-41946515995b"/>
    <ds:schemaRef ds:uri="http://purl.org/dc/elements/1.1/"/>
    <ds:schemaRef ds:uri="dba57f26-ff04-49ce-b7e1-c3cccc02229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A388B6-8117-4873-A191-7B798B4D47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431FB5-62A9-471E-B6E8-D9B7F66AB7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a57f26-ff04-49ce-b7e1-c3cccc022296"/>
    <ds:schemaRef ds:uri="49dcf445-8db9-4d31-8ef6-419465159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SI Table 1</vt:lpstr>
      <vt:lpstr>SI Table 2</vt:lpstr>
      <vt:lpstr>SI Table 3</vt:lpstr>
      <vt:lpstr>SI Table 3.1</vt:lpstr>
      <vt:lpstr>SI Table 3.2</vt:lpstr>
      <vt:lpstr>SI Table 3.3</vt:lpstr>
      <vt:lpstr>SI Table 3.4</vt:lpstr>
      <vt:lpstr>SI Table 3.5</vt:lpstr>
      <vt:lpstr>SI Table 4</vt:lpstr>
      <vt:lpstr>SI Table 5</vt:lpstr>
      <vt:lpstr>SI Table 6</vt:lpstr>
      <vt:lpstr>SI Table 7</vt:lpstr>
      <vt:lpstr>SI Table 8</vt:lpstr>
      <vt:lpstr>SI Table 8.1</vt:lpstr>
      <vt:lpstr>SI Table 9</vt:lpstr>
      <vt:lpstr>SI Table 9.1</vt:lpstr>
      <vt:lpstr>SI Table 9.2</vt:lpstr>
      <vt:lpstr>SI Table 9.3</vt:lpstr>
      <vt:lpstr>SI Table 9.4</vt:lpstr>
      <vt:lpstr>SI Table 9.5</vt:lpstr>
      <vt:lpstr>SI Table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Iuliia Kukula</dc:creator>
  <cp:lastModifiedBy>Iuliia Kukula</cp:lastModifiedBy>
  <dcterms:created xsi:type="dcterms:W3CDTF">2015-06-05T18:17:20Z</dcterms:created>
  <dcterms:modified xsi:type="dcterms:W3CDTF">2024-06-10T00:44:28Z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0x010100841F812FD0EB6241B67DD751F97DC12F</vt:lpwstr>
  </property>
</Properties>
</file>