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lut-my.sharepoint.com/personal/dominik_keiner_lut_fi/Documents/03_Projects/CDR/Mineralisation/Paper/R1/Supplementary/"/>
    </mc:Choice>
  </mc:AlternateContent>
  <xr:revisionPtr revIDLastSave="276" documentId="8_{50F8AEF1-948F-E04B-9EAF-C67E0D6ED6B6}" xr6:coauthVersionLast="47" xr6:coauthVersionMax="47" xr10:uidLastSave="{09511542-AB55-6F47-AD37-415945FE763D}"/>
  <bookViews>
    <workbookView xWindow="38280" yWindow="-120" windowWidth="38640" windowHeight="21240" tabRatio="816" xr2:uid="{927B1F9E-89E1-544F-B38D-3E213BFC2DE2}"/>
  </bookViews>
  <sheets>
    <sheet name="SM2" sheetId="22" r:id="rId1"/>
    <sheet name="References" sheetId="1" r:id="rId2"/>
    <sheet name="Global" sheetId="5" r:id="rId3"/>
    <sheet name="TotalCost&amp;Energy" sheetId="21" r:id="rId4"/>
    <sheet name="SensitivityAnalysis" sheetId="23" r:id="rId5"/>
    <sheet name="OverviewResults" sheetId="18" r:id="rId6"/>
    <sheet name="MININ" sheetId="2" r:id="rId7"/>
    <sheet name="MINEX" sheetId="3" r:id="rId8"/>
    <sheet name="EW" sheetId="4" r:id="rId9"/>
    <sheet name="DAC" sheetId="19" r:id="rId10"/>
    <sheet name="Heat Pump" sheetId="13" r:id="rId11"/>
    <sheet name="MININ_Pot" sheetId="12" r:id="rId12"/>
    <sheet name="MINEX_IW_Pot" sheetId="15" r:id="rId13"/>
    <sheet name="EW_Pot" sheetId="16" r:id="rId14"/>
    <sheet name="Mining" sheetId="6" r:id="rId15"/>
    <sheet name="Transport" sheetId="7" r:id="rId16"/>
    <sheet name="Comminution" sheetId="8" r:id="rId17"/>
    <sheet name="Rock Handling" sheetId="20" r:id="rId18"/>
    <sheet name="Conversion" sheetId="9" r:id="rId19"/>
    <sheet name="Learning" sheetId="10" r:id="rId20"/>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5" i="18" l="1"/>
  <c r="J106" i="18"/>
  <c r="J107" i="18"/>
  <c r="J108" i="18"/>
  <c r="J104" i="18"/>
  <c r="I105" i="18"/>
  <c r="I106" i="18"/>
  <c r="I107" i="18"/>
  <c r="I108" i="18"/>
  <c r="I104" i="18"/>
  <c r="H105" i="18"/>
  <c r="H106" i="18"/>
  <c r="H107" i="18"/>
  <c r="H108" i="18"/>
  <c r="H104" i="18"/>
  <c r="R13" i="16"/>
  <c r="R14" i="16"/>
  <c r="R15" i="16"/>
  <c r="R16" i="16"/>
  <c r="R12" i="16"/>
  <c r="H6" i="16"/>
  <c r="F43" i="12"/>
  <c r="F44" i="12"/>
  <c r="F45" i="12"/>
  <c r="F46" i="12"/>
  <c r="F47" i="12"/>
  <c r="F48" i="12"/>
  <c r="F49" i="12"/>
  <c r="F50" i="12"/>
  <c r="F51" i="12"/>
  <c r="F52" i="12"/>
  <c r="F53" i="12"/>
  <c r="F54" i="12"/>
  <c r="F55" i="12"/>
  <c r="F56" i="12"/>
  <c r="F57" i="12"/>
  <c r="F58" i="12"/>
  <c r="F59" i="12"/>
  <c r="F60" i="12"/>
  <c r="F61" i="12"/>
  <c r="F62" i="12"/>
  <c r="F63" i="12"/>
  <c r="F64" i="12"/>
  <c r="F65" i="12"/>
  <c r="F42" i="12"/>
  <c r="L19" i="19"/>
  <c r="L18" i="19"/>
  <c r="L17" i="19"/>
  <c r="G13" i="4"/>
  <c r="L35" i="4"/>
  <c r="G11" i="4"/>
  <c r="G10" i="4"/>
  <c r="G45" i="3"/>
  <c r="G44" i="3"/>
  <c r="G72" i="3"/>
  <c r="G71" i="3"/>
  <c r="G66" i="3"/>
  <c r="G39" i="3"/>
  <c r="G19" i="3"/>
  <c r="G18" i="3"/>
  <c r="G13" i="3"/>
  <c r="L38" i="2"/>
  <c r="L18" i="2"/>
  <c r="L31" i="2"/>
  <c r="L11" i="2"/>
  <c r="L33" i="2"/>
  <c r="L13" i="2"/>
  <c r="G24" i="20" l="1"/>
  <c r="H24" i="20" s="1"/>
  <c r="J24" i="20" s="1"/>
  <c r="L24" i="20" s="1"/>
  <c r="N24" i="20"/>
  <c r="C9" i="20"/>
  <c r="B9" i="20"/>
  <c r="O24" i="20" l="1"/>
  <c r="I24" i="20"/>
  <c r="K24" i="20" s="1"/>
  <c r="M24" i="20" s="1"/>
  <c r="P24" i="20" s="1"/>
  <c r="N4" i="20" l="1"/>
  <c r="O4" i="20" s="1"/>
  <c r="N5" i="20"/>
  <c r="N6" i="20"/>
  <c r="N7" i="20"/>
  <c r="N8" i="20"/>
  <c r="P8" i="20" s="1"/>
  <c r="N9" i="20"/>
  <c r="O9" i="20" s="1"/>
  <c r="N10" i="20"/>
  <c r="P10" i="20" s="1"/>
  <c r="N11" i="20"/>
  <c r="P11" i="20" s="1"/>
  <c r="N12" i="20"/>
  <c r="O12" i="20" s="1"/>
  <c r="N13" i="20"/>
  <c r="P13" i="20" s="1"/>
  <c r="N14" i="20"/>
  <c r="O14" i="20" s="1"/>
  <c r="N15" i="20"/>
  <c r="N16" i="20"/>
  <c r="N17" i="20"/>
  <c r="N18" i="20"/>
  <c r="P18" i="20" s="1"/>
  <c r="N19" i="20"/>
  <c r="O19" i="20" s="1"/>
  <c r="N20" i="20"/>
  <c r="O20" i="20" s="1"/>
  <c r="N21" i="20"/>
  <c r="O21" i="20" s="1"/>
  <c r="N22" i="20"/>
  <c r="O22" i="20" s="1"/>
  <c r="N23" i="20"/>
  <c r="P23" i="20" s="1"/>
  <c r="N3" i="20"/>
  <c r="P3" i="20" s="1"/>
  <c r="P4" i="20"/>
  <c r="O5" i="20"/>
  <c r="P5" i="20"/>
  <c r="O6" i="20"/>
  <c r="P6" i="20"/>
  <c r="O7" i="20"/>
  <c r="P7" i="20"/>
  <c r="O8" i="20"/>
  <c r="P12" i="20"/>
  <c r="O13" i="20"/>
  <c r="P14" i="20"/>
  <c r="O15" i="20"/>
  <c r="P15" i="20"/>
  <c r="O16" i="20"/>
  <c r="P16" i="20"/>
  <c r="O17" i="20"/>
  <c r="P17" i="20"/>
  <c r="O18" i="20"/>
  <c r="P22" i="20"/>
  <c r="O23" i="20"/>
  <c r="O3" i="20"/>
  <c r="B4" i="20"/>
  <c r="F3" i="20"/>
  <c r="F4" i="20" s="1"/>
  <c r="F5" i="20" s="1"/>
  <c r="F6" i="20" s="1"/>
  <c r="F7" i="20" s="1"/>
  <c r="F8" i="20" s="1"/>
  <c r="F9" i="20" s="1"/>
  <c r="F10" i="20" s="1"/>
  <c r="F11" i="20" s="1"/>
  <c r="G11" i="20" s="1"/>
  <c r="C7" i="20"/>
  <c r="B7" i="20"/>
  <c r="H11" i="20" s="1"/>
  <c r="J11" i="20" s="1"/>
  <c r="L11" i="20" s="1"/>
  <c r="P21" i="20" l="1"/>
  <c r="O11" i="20"/>
  <c r="O10" i="20"/>
  <c r="P19" i="20"/>
  <c r="P9" i="20"/>
  <c r="P20" i="20"/>
  <c r="I11" i="20"/>
  <c r="K11" i="20" s="1"/>
  <c r="M11" i="20" s="1"/>
  <c r="G6" i="20"/>
  <c r="G8" i="20"/>
  <c r="F12" i="20"/>
  <c r="G5" i="20"/>
  <c r="G10" i="20"/>
  <c r="G9" i="20"/>
  <c r="G7" i="20"/>
  <c r="G3" i="20"/>
  <c r="G4" i="20"/>
  <c r="G72" i="18"/>
  <c r="G73" i="18" s="1"/>
  <c r="F73" i="18"/>
  <c r="F77" i="18"/>
  <c r="F72" i="18"/>
  <c r="E72" i="18"/>
  <c r="D88" i="18"/>
  <c r="D85" i="18"/>
  <c r="D87" i="18" s="1"/>
  <c r="D84" i="18"/>
  <c r="G70" i="18"/>
  <c r="G76" i="18" s="1"/>
  <c r="G66" i="18"/>
  <c r="G67" i="18" s="1"/>
  <c r="E66" i="18"/>
  <c r="G64" i="18"/>
  <c r="F64" i="18"/>
  <c r="F70" i="18" s="1"/>
  <c r="F76" i="18" s="1"/>
  <c r="E64" i="18"/>
  <c r="F63" i="18"/>
  <c r="F69" i="18" s="1"/>
  <c r="F75" i="18" s="1"/>
  <c r="E63" i="18"/>
  <c r="G60" i="18"/>
  <c r="G61" i="18" s="1"/>
  <c r="F62" i="18"/>
  <c r="F68" i="18" s="1"/>
  <c r="F74" i="18" s="1"/>
  <c r="E62" i="18"/>
  <c r="E60" i="18"/>
  <c r="M17" i="8"/>
  <c r="N17" i="8"/>
  <c r="O17" i="8"/>
  <c r="P17" i="8"/>
  <c r="Q17" i="8"/>
  <c r="R17" i="8"/>
  <c r="S17" i="8"/>
  <c r="T17" i="8"/>
  <c r="U17" i="8"/>
  <c r="V17" i="8"/>
  <c r="W17" i="8"/>
  <c r="X17" i="8"/>
  <c r="Y17" i="8"/>
  <c r="Z17" i="8"/>
  <c r="AA17" i="8"/>
  <c r="AB17" i="8"/>
  <c r="M18" i="8"/>
  <c r="N18" i="8"/>
  <c r="O18" i="8"/>
  <c r="P18" i="8"/>
  <c r="Q18" i="8"/>
  <c r="R18" i="8"/>
  <c r="S18" i="8"/>
  <c r="T18" i="8"/>
  <c r="U18" i="8"/>
  <c r="V18" i="8"/>
  <c r="W18" i="8"/>
  <c r="X18" i="8"/>
  <c r="Y18" i="8"/>
  <c r="Z18" i="8"/>
  <c r="AA18" i="8"/>
  <c r="AB18" i="8"/>
  <c r="L18" i="8"/>
  <c r="L17" i="8"/>
  <c r="N8" i="8"/>
  <c r="O8" i="8" s="1"/>
  <c r="P8" i="8" s="1"/>
  <c r="Q8" i="8" s="1"/>
  <c r="R8" i="8" s="1"/>
  <c r="S8" i="8" s="1"/>
  <c r="T8" i="8" s="1"/>
  <c r="U8" i="8" s="1"/>
  <c r="V8" i="8" s="1"/>
  <c r="W8" i="8" s="1"/>
  <c r="X8" i="8" s="1"/>
  <c r="Y8" i="8" s="1"/>
  <c r="Z8" i="8" s="1"/>
  <c r="AA8" i="8" s="1"/>
  <c r="AB8" i="8" s="1"/>
  <c r="N9" i="8"/>
  <c r="O9" i="8"/>
  <c r="P9" i="8"/>
  <c r="Q9" i="8"/>
  <c r="R9" i="8" s="1"/>
  <c r="S9" i="8" s="1"/>
  <c r="T9" i="8" s="1"/>
  <c r="U9" i="8" s="1"/>
  <c r="V9" i="8" s="1"/>
  <c r="W9" i="8" s="1"/>
  <c r="X9" i="8" s="1"/>
  <c r="Y9" i="8" s="1"/>
  <c r="Z9" i="8" s="1"/>
  <c r="AA9" i="8" s="1"/>
  <c r="AB9" i="8" s="1"/>
  <c r="N10" i="8"/>
  <c r="O10" i="8"/>
  <c r="P10" i="8"/>
  <c r="Q10" i="8"/>
  <c r="R10" i="8"/>
  <c r="S10" i="8" s="1"/>
  <c r="T10" i="8" s="1"/>
  <c r="U10" i="8" s="1"/>
  <c r="V10" i="8" s="1"/>
  <c r="W10" i="8" s="1"/>
  <c r="X10" i="8" s="1"/>
  <c r="Y10" i="8" s="1"/>
  <c r="Z10" i="8" s="1"/>
  <c r="AA10" i="8" s="1"/>
  <c r="AB10" i="8" s="1"/>
  <c r="N11" i="8"/>
  <c r="O11" i="8"/>
  <c r="P11" i="8"/>
  <c r="Q11" i="8"/>
  <c r="R11" i="8" s="1"/>
  <c r="S11" i="8" s="1"/>
  <c r="T11" i="8" s="1"/>
  <c r="U11" i="8" s="1"/>
  <c r="V11" i="8" s="1"/>
  <c r="W11" i="8" s="1"/>
  <c r="X11" i="8" s="1"/>
  <c r="Y11" i="8" s="1"/>
  <c r="Z11" i="8" s="1"/>
  <c r="AA11" i="8" s="1"/>
  <c r="AB11" i="8" s="1"/>
  <c r="N13" i="8"/>
  <c r="O13" i="8"/>
  <c r="P13" i="8"/>
  <c r="Q13" i="8"/>
  <c r="R13" i="8" s="1"/>
  <c r="S13" i="8" s="1"/>
  <c r="T13" i="8" s="1"/>
  <c r="U13" i="8" s="1"/>
  <c r="V13" i="8" s="1"/>
  <c r="W13" i="8" s="1"/>
  <c r="X13" i="8" s="1"/>
  <c r="Y13" i="8" s="1"/>
  <c r="Z13" i="8" s="1"/>
  <c r="AA13" i="8" s="1"/>
  <c r="AB13" i="8" s="1"/>
  <c r="M9" i="8"/>
  <c r="M10" i="8"/>
  <c r="M11" i="8"/>
  <c r="M13" i="8"/>
  <c r="M8" i="8"/>
  <c r="M16" i="8"/>
  <c r="N16" i="8"/>
  <c r="O16" i="8"/>
  <c r="P16" i="8"/>
  <c r="Q16" i="8"/>
  <c r="R16" i="8"/>
  <c r="S16" i="8"/>
  <c r="T16" i="8"/>
  <c r="U16" i="8"/>
  <c r="V16" i="8"/>
  <c r="W16" i="8"/>
  <c r="X16" i="8"/>
  <c r="Y16" i="8"/>
  <c r="Z16" i="8"/>
  <c r="AA16" i="8"/>
  <c r="AB16" i="8"/>
  <c r="L16" i="8"/>
  <c r="L9" i="7"/>
  <c r="L20" i="7"/>
  <c r="N16" i="6"/>
  <c r="O16" i="6" s="1"/>
  <c r="P16" i="6" s="1"/>
  <c r="Q16" i="6" s="1"/>
  <c r="R16" i="6" s="1"/>
  <c r="S16" i="6" s="1"/>
  <c r="T16" i="6" s="1"/>
  <c r="U16" i="6" s="1"/>
  <c r="V16" i="6" s="1"/>
  <c r="W16" i="6" s="1"/>
  <c r="X16" i="6" s="1"/>
  <c r="Y16" i="6" s="1"/>
  <c r="Z16" i="6" s="1"/>
  <c r="AA16" i="6" s="1"/>
  <c r="AB16" i="6" s="1"/>
  <c r="N17" i="6"/>
  <c r="O17" i="6"/>
  <c r="P17" i="6"/>
  <c r="Q17" i="6"/>
  <c r="R17" i="6"/>
  <c r="S17" i="6" s="1"/>
  <c r="T17" i="6" s="1"/>
  <c r="U17" i="6" s="1"/>
  <c r="V17" i="6" s="1"/>
  <c r="W17" i="6" s="1"/>
  <c r="X17" i="6" s="1"/>
  <c r="Y17" i="6" s="1"/>
  <c r="Z17" i="6" s="1"/>
  <c r="AA17" i="6" s="1"/>
  <c r="AB17" i="6" s="1"/>
  <c r="N18" i="6"/>
  <c r="O18" i="6" s="1"/>
  <c r="P18" i="6" s="1"/>
  <c r="Q18" i="6" s="1"/>
  <c r="R18" i="6" s="1"/>
  <c r="S18" i="6" s="1"/>
  <c r="T18" i="6" s="1"/>
  <c r="U18" i="6" s="1"/>
  <c r="V18" i="6" s="1"/>
  <c r="W18" i="6" s="1"/>
  <c r="X18" i="6" s="1"/>
  <c r="Y18" i="6" s="1"/>
  <c r="Z18" i="6" s="1"/>
  <c r="AA18" i="6" s="1"/>
  <c r="AB18" i="6" s="1"/>
  <c r="N8" i="6"/>
  <c r="O8" i="6" s="1"/>
  <c r="P8" i="6" s="1"/>
  <c r="Q8" i="6" s="1"/>
  <c r="R8" i="6" s="1"/>
  <c r="S8" i="6" s="1"/>
  <c r="T8" i="6" s="1"/>
  <c r="U8" i="6" s="1"/>
  <c r="V8" i="6" s="1"/>
  <c r="W8" i="6" s="1"/>
  <c r="X8" i="6" s="1"/>
  <c r="Y8" i="6" s="1"/>
  <c r="Z8" i="6" s="1"/>
  <c r="AA8" i="6" s="1"/>
  <c r="AB8" i="6" s="1"/>
  <c r="N9" i="6"/>
  <c r="O9" i="6"/>
  <c r="P9" i="6"/>
  <c r="Q9" i="6" s="1"/>
  <c r="R9" i="6" s="1"/>
  <c r="S9" i="6" s="1"/>
  <c r="T9" i="6" s="1"/>
  <c r="U9" i="6" s="1"/>
  <c r="V9" i="6" s="1"/>
  <c r="W9" i="6" s="1"/>
  <c r="X9" i="6" s="1"/>
  <c r="Y9" i="6" s="1"/>
  <c r="Z9" i="6" s="1"/>
  <c r="AA9" i="6" s="1"/>
  <c r="AB9" i="6" s="1"/>
  <c r="N10" i="6"/>
  <c r="O10" i="6" s="1"/>
  <c r="P10" i="6" s="1"/>
  <c r="Q10" i="6" s="1"/>
  <c r="R10" i="6" s="1"/>
  <c r="S10" i="6" s="1"/>
  <c r="T10" i="6" s="1"/>
  <c r="U10" i="6" s="1"/>
  <c r="V10" i="6" s="1"/>
  <c r="W10" i="6" s="1"/>
  <c r="X10" i="6" s="1"/>
  <c r="Y10" i="6" s="1"/>
  <c r="Z10" i="6" s="1"/>
  <c r="AA10" i="6" s="1"/>
  <c r="AB10" i="6" s="1"/>
  <c r="N11" i="6"/>
  <c r="O11" i="6"/>
  <c r="P11" i="6"/>
  <c r="Q11" i="6" s="1"/>
  <c r="R11" i="6" s="1"/>
  <c r="S11" i="6" s="1"/>
  <c r="T11" i="6" s="1"/>
  <c r="U11" i="6" s="1"/>
  <c r="V11" i="6" s="1"/>
  <c r="W11" i="6" s="1"/>
  <c r="X11" i="6" s="1"/>
  <c r="Y11" i="6" s="1"/>
  <c r="Z11" i="6" s="1"/>
  <c r="AA11" i="6" s="1"/>
  <c r="AB11" i="6" s="1"/>
  <c r="N13" i="6"/>
  <c r="O13" i="6"/>
  <c r="P13" i="6"/>
  <c r="Q13" i="6" s="1"/>
  <c r="R13" i="6" s="1"/>
  <c r="S13" i="6" s="1"/>
  <c r="T13" i="6" s="1"/>
  <c r="U13" i="6" s="1"/>
  <c r="V13" i="6" s="1"/>
  <c r="W13" i="6" s="1"/>
  <c r="X13" i="6" s="1"/>
  <c r="Y13" i="6" s="1"/>
  <c r="Z13" i="6" s="1"/>
  <c r="AA13" i="6" s="1"/>
  <c r="AB13" i="6" s="1"/>
  <c r="M17" i="6"/>
  <c r="M18" i="6"/>
  <c r="M16" i="6"/>
  <c r="L19" i="7"/>
  <c r="M9" i="6"/>
  <c r="M10" i="6"/>
  <c r="M11" i="6"/>
  <c r="M13" i="6"/>
  <c r="M8" i="6"/>
  <c r="N16" i="7"/>
  <c r="O16" i="7" s="1"/>
  <c r="N17" i="7"/>
  <c r="O17" i="7" s="1"/>
  <c r="P17" i="7" s="1"/>
  <c r="Q17" i="7"/>
  <c r="R17" i="7" s="1"/>
  <c r="S17" i="7" s="1"/>
  <c r="T17" i="7" s="1"/>
  <c r="U17" i="7" s="1"/>
  <c r="V17" i="7" s="1"/>
  <c r="W17" i="7" s="1"/>
  <c r="X17" i="7" s="1"/>
  <c r="Y17" i="7" s="1"/>
  <c r="Z17" i="7" s="1"/>
  <c r="AA17" i="7"/>
  <c r="AB17" i="7" s="1"/>
  <c r="N18" i="7"/>
  <c r="O18" i="7" s="1"/>
  <c r="P18" i="7" s="1"/>
  <c r="Q18" i="7" s="1"/>
  <c r="R18" i="7" s="1"/>
  <c r="S18" i="7" s="1"/>
  <c r="T18" i="7" s="1"/>
  <c r="U18" i="7" s="1"/>
  <c r="V18" i="7"/>
  <c r="W18" i="7" s="1"/>
  <c r="X18" i="7" s="1"/>
  <c r="Y18" i="7" s="1"/>
  <c r="Z18" i="7" s="1"/>
  <c r="AA18" i="7" s="1"/>
  <c r="AB18" i="7" s="1"/>
  <c r="M17" i="7"/>
  <c r="M18" i="7"/>
  <c r="M16" i="7"/>
  <c r="N28" i="7"/>
  <c r="M29" i="7"/>
  <c r="M30" i="7"/>
  <c r="M31" i="7"/>
  <c r="M32" i="7"/>
  <c r="M34" i="7"/>
  <c r="M35" i="7"/>
  <c r="M36" i="7"/>
  <c r="M37" i="7"/>
  <c r="N38" i="7"/>
  <c r="M39" i="7"/>
  <c r="M40" i="7"/>
  <c r="N40" i="7"/>
  <c r="M41" i="7"/>
  <c r="M42" i="7"/>
  <c r="N43" i="7"/>
  <c r="M44" i="7"/>
  <c r="M45" i="7"/>
  <c r="N45" i="7"/>
  <c r="M46" i="7"/>
  <c r="M47" i="7"/>
  <c r="M49" i="7"/>
  <c r="M50" i="7"/>
  <c r="N50" i="7"/>
  <c r="M51" i="7"/>
  <c r="M52" i="7"/>
  <c r="N52" i="7"/>
  <c r="M54" i="7"/>
  <c r="M55" i="7"/>
  <c r="N55" i="7"/>
  <c r="M56" i="7"/>
  <c r="M57" i="7"/>
  <c r="N57" i="7"/>
  <c r="M59" i="7"/>
  <c r="N59" i="7"/>
  <c r="M60" i="7"/>
  <c r="M61" i="7"/>
  <c r="M62" i="7"/>
  <c r="N62" i="7"/>
  <c r="M64" i="7"/>
  <c r="N64" i="7"/>
  <c r="M65" i="7"/>
  <c r="M66" i="7"/>
  <c r="M67" i="7"/>
  <c r="N67"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28" i="7"/>
  <c r="M19" i="7"/>
  <c r="M28" i="7" s="1"/>
  <c r="N19" i="7"/>
  <c r="N30" i="7" s="1"/>
  <c r="N8" i="7"/>
  <c r="O8" i="7" s="1"/>
  <c r="M8" i="7"/>
  <c r="M15" i="7"/>
  <c r="N15" i="7"/>
  <c r="G16" i="7"/>
  <c r="L3" i="7"/>
  <c r="M3" i="7"/>
  <c r="N3" i="7"/>
  <c r="O3" i="7"/>
  <c r="P3" i="7"/>
  <c r="Q3" i="7"/>
  <c r="R3" i="7"/>
  <c r="S3" i="7"/>
  <c r="T3" i="7"/>
  <c r="U3" i="7"/>
  <c r="V3" i="7"/>
  <c r="W3" i="7"/>
  <c r="X3" i="7"/>
  <c r="Y3" i="7"/>
  <c r="Z3" i="7"/>
  <c r="AA3" i="7"/>
  <c r="AB3" i="7"/>
  <c r="L4" i="7"/>
  <c r="M4" i="7"/>
  <c r="N4" i="7"/>
  <c r="O4" i="7"/>
  <c r="P4" i="7"/>
  <c r="Q4" i="7"/>
  <c r="R4" i="7"/>
  <c r="S4" i="7"/>
  <c r="T4" i="7"/>
  <c r="U4" i="7"/>
  <c r="V4" i="7"/>
  <c r="W4" i="7"/>
  <c r="X4" i="7"/>
  <c r="Y4" i="7"/>
  <c r="Z4" i="7"/>
  <c r="AA4" i="7"/>
  <c r="AB4" i="7"/>
  <c r="L8" i="7"/>
  <c r="L15" i="7" s="1"/>
  <c r="L17" i="7"/>
  <c r="L18" i="7"/>
  <c r="G8" i="7"/>
  <c r="G31" i="2"/>
  <c r="G30" i="2"/>
  <c r="L30" i="2" s="1"/>
  <c r="G12" i="2"/>
  <c r="G11" i="2"/>
  <c r="G10" i="2"/>
  <c r="G41" i="3"/>
  <c r="G15" i="3"/>
  <c r="L2" i="7"/>
  <c r="E46" i="18"/>
  <c r="F38" i="18"/>
  <c r="F44" i="18" s="1"/>
  <c r="F50" i="18" s="1"/>
  <c r="G48" i="18"/>
  <c r="G42" i="18"/>
  <c r="G36" i="18"/>
  <c r="F37" i="18"/>
  <c r="F36" i="18"/>
  <c r="H66" i="18" l="1"/>
  <c r="H64" i="18"/>
  <c r="L10" i="2"/>
  <c r="B6" i="23"/>
  <c r="B5" i="23"/>
  <c r="B4" i="23"/>
  <c r="I5" i="20"/>
  <c r="K5" i="20" s="1"/>
  <c r="M5" i="20" s="1"/>
  <c r="H5" i="20"/>
  <c r="J5" i="20" s="1"/>
  <c r="L5" i="20" s="1"/>
  <c r="H8" i="20"/>
  <c r="J8" i="20" s="1"/>
  <c r="L8" i="20" s="1"/>
  <c r="I8" i="20"/>
  <c r="K8" i="20" s="1"/>
  <c r="M8" i="20" s="1"/>
  <c r="H4" i="20"/>
  <c r="J4" i="20" s="1"/>
  <c r="L4" i="20" s="1"/>
  <c r="I4" i="20"/>
  <c r="K4" i="20" s="1"/>
  <c r="M4" i="20" s="1"/>
  <c r="H7" i="20"/>
  <c r="J7" i="20" s="1"/>
  <c r="L7" i="20" s="1"/>
  <c r="I7" i="20"/>
  <c r="K7" i="20" s="1"/>
  <c r="M7" i="20" s="1"/>
  <c r="H10" i="20"/>
  <c r="J10" i="20" s="1"/>
  <c r="L10" i="20" s="1"/>
  <c r="I10" i="20"/>
  <c r="K10" i="20" s="1"/>
  <c r="M10" i="20" s="1"/>
  <c r="H6" i="20"/>
  <c r="J6" i="20" s="1"/>
  <c r="L6" i="20" s="1"/>
  <c r="I6" i="20"/>
  <c r="K6" i="20" s="1"/>
  <c r="M6" i="20" s="1"/>
  <c r="H3" i="20"/>
  <c r="J3" i="20" s="1"/>
  <c r="L3" i="20" s="1"/>
  <c r="I3" i="20"/>
  <c r="K3" i="20" s="1"/>
  <c r="M3" i="20" s="1"/>
  <c r="H9" i="20"/>
  <c r="J9" i="20" s="1"/>
  <c r="L9" i="20" s="1"/>
  <c r="I9" i="20"/>
  <c r="K9" i="20" s="1"/>
  <c r="M9" i="20" s="1"/>
  <c r="F13" i="20"/>
  <c r="G12" i="20"/>
  <c r="F42" i="18"/>
  <c r="I36" i="18"/>
  <c r="E16" i="21" s="1"/>
  <c r="F43" i="18"/>
  <c r="H60" i="18"/>
  <c r="D89" i="18"/>
  <c r="D93" i="18" s="1"/>
  <c r="E52" i="18"/>
  <c r="E61" i="18"/>
  <c r="H61" i="18" s="1"/>
  <c r="E67" i="18"/>
  <c r="H72" i="18"/>
  <c r="E73" i="18"/>
  <c r="P16" i="7"/>
  <c r="O19" i="7"/>
  <c r="N66" i="7"/>
  <c r="N54" i="7"/>
  <c r="N47" i="7"/>
  <c r="N35" i="7"/>
  <c r="N33" i="7"/>
  <c r="N31" i="7"/>
  <c r="N36" i="7"/>
  <c r="N60" i="7"/>
  <c r="N48" i="7"/>
  <c r="N41" i="7"/>
  <c r="N29" i="7"/>
  <c r="N65" i="7"/>
  <c r="N53" i="7"/>
  <c r="N46" i="7"/>
  <c r="N34" i="7"/>
  <c r="N58" i="7"/>
  <c r="N51" i="7"/>
  <c r="N39" i="7"/>
  <c r="N32" i="7"/>
  <c r="N63" i="7"/>
  <c r="N56" i="7"/>
  <c r="N44" i="7"/>
  <c r="N37" i="7"/>
  <c r="N61" i="7"/>
  <c r="N49" i="7"/>
  <c r="N42" i="7"/>
  <c r="M63" i="7"/>
  <c r="M58" i="7"/>
  <c r="M53" i="7"/>
  <c r="M48" i="7"/>
  <c r="M43" i="7"/>
  <c r="M38" i="7"/>
  <c r="M33" i="7"/>
  <c r="O15" i="7"/>
  <c r="P8" i="7"/>
  <c r="G49" i="18"/>
  <c r="G50" i="18" s="1"/>
  <c r="G51" i="18" s="1"/>
  <c r="G52" i="18" s="1"/>
  <c r="G43" i="18"/>
  <c r="G44" i="18" s="1"/>
  <c r="G45" i="18" s="1"/>
  <c r="G46" i="18" s="1"/>
  <c r="G37" i="18"/>
  <c r="G38" i="18" s="1"/>
  <c r="G39" i="18" s="1"/>
  <c r="G40" i="18" s="1"/>
  <c r="M18" i="19"/>
  <c r="N18" i="19"/>
  <c r="O18" i="19"/>
  <c r="P18" i="19"/>
  <c r="Q18" i="19"/>
  <c r="R18" i="19"/>
  <c r="S18" i="19"/>
  <c r="T18" i="19"/>
  <c r="U18" i="19"/>
  <c r="V18" i="19"/>
  <c r="W18" i="19"/>
  <c r="X18" i="19"/>
  <c r="Y18" i="19"/>
  <c r="Z18" i="19"/>
  <c r="AA18" i="19"/>
  <c r="AB18" i="19"/>
  <c r="M19" i="19"/>
  <c r="N19" i="19"/>
  <c r="O19" i="19"/>
  <c r="P19" i="19"/>
  <c r="Q19" i="19"/>
  <c r="R19" i="19"/>
  <c r="S19" i="19"/>
  <c r="T19" i="19"/>
  <c r="U19" i="19"/>
  <c r="V19" i="19"/>
  <c r="W19" i="19"/>
  <c r="X19" i="19"/>
  <c r="Y19" i="19"/>
  <c r="Z19" i="19"/>
  <c r="AA19" i="19"/>
  <c r="AB19" i="19"/>
  <c r="M2" i="7" l="1"/>
  <c r="H12" i="20"/>
  <c r="J12" i="20" s="1"/>
  <c r="L12" i="20" s="1"/>
  <c r="I12" i="20"/>
  <c r="K12" i="20" s="1"/>
  <c r="M12" i="20" s="1"/>
  <c r="F14" i="20"/>
  <c r="G13" i="20"/>
  <c r="D92" i="18"/>
  <c r="I37" i="18"/>
  <c r="E17" i="21" s="1"/>
  <c r="F49" i="18"/>
  <c r="I49" i="18" s="1"/>
  <c r="M17" i="21" s="1"/>
  <c r="I43" i="18"/>
  <c r="I17" i="21" s="1"/>
  <c r="F48" i="18"/>
  <c r="I48" i="18" s="1"/>
  <c r="M16" i="21" s="1"/>
  <c r="I42" i="18"/>
  <c r="I16" i="21" s="1"/>
  <c r="H73" i="18"/>
  <c r="E74" i="18"/>
  <c r="E75" i="18" s="1"/>
  <c r="E76" i="18" s="1"/>
  <c r="H76" i="18" s="1"/>
  <c r="H67" i="18"/>
  <c r="E68" i="18"/>
  <c r="E69" i="18" s="1"/>
  <c r="E70" i="18" s="1"/>
  <c r="H70" i="18" s="1"/>
  <c r="G69" i="18"/>
  <c r="E51" i="18"/>
  <c r="G63" i="18"/>
  <c r="H63" i="18" s="1"/>
  <c r="E45" i="18"/>
  <c r="E39" i="18"/>
  <c r="O35" i="7"/>
  <c r="O47" i="7"/>
  <c r="O54" i="7"/>
  <c r="O66" i="7"/>
  <c r="O30" i="7"/>
  <c r="O42" i="7"/>
  <c r="O49" i="7"/>
  <c r="O61" i="7"/>
  <c r="O48" i="7"/>
  <c r="O37" i="7"/>
  <c r="O44" i="7"/>
  <c r="O56" i="7"/>
  <c r="O63" i="7"/>
  <c r="O32" i="7"/>
  <c r="O39" i="7"/>
  <c r="O51" i="7"/>
  <c r="O58" i="7"/>
  <c r="O34" i="7"/>
  <c r="O46" i="7"/>
  <c r="O53" i="7"/>
  <c r="O65" i="7"/>
  <c r="O29" i="7"/>
  <c r="O41" i="7"/>
  <c r="O36" i="7"/>
  <c r="O43" i="7"/>
  <c r="O31" i="7"/>
  <c r="O38" i="7"/>
  <c r="O28" i="7"/>
  <c r="O40" i="7"/>
  <c r="O52" i="7"/>
  <c r="O59" i="7"/>
  <c r="O33" i="7"/>
  <c r="O62" i="7"/>
  <c r="O45" i="7"/>
  <c r="O64" i="7"/>
  <c r="O50" i="7"/>
  <c r="O57" i="7"/>
  <c r="O67" i="7"/>
  <c r="O60" i="7"/>
  <c r="O55" i="7"/>
  <c r="Q16" i="7"/>
  <c r="P19" i="7"/>
  <c r="P15" i="7"/>
  <c r="Q8" i="7"/>
  <c r="L22" i="19"/>
  <c r="M22" i="19" s="1"/>
  <c r="N22" i="19" s="1"/>
  <c r="O22" i="19" s="1"/>
  <c r="P22" i="19" s="1"/>
  <c r="Q22" i="19" s="1"/>
  <c r="R22" i="19" s="1"/>
  <c r="S22" i="19" s="1"/>
  <c r="T22" i="19" s="1"/>
  <c r="U22" i="19" s="1"/>
  <c r="V22" i="19" s="1"/>
  <c r="W22" i="19" s="1"/>
  <c r="X22" i="19" s="1"/>
  <c r="Y22" i="19" s="1"/>
  <c r="Z22" i="19" s="1"/>
  <c r="AA22" i="19" s="1"/>
  <c r="AB22" i="19" s="1"/>
  <c r="L20" i="19"/>
  <c r="M20" i="19" s="1"/>
  <c r="N20" i="19" s="1"/>
  <c r="O20" i="19" s="1"/>
  <c r="P20" i="19" s="1"/>
  <c r="Q20" i="19" s="1"/>
  <c r="R20" i="19" s="1"/>
  <c r="S20" i="19" s="1"/>
  <c r="T20" i="19" s="1"/>
  <c r="U20" i="19" s="1"/>
  <c r="V20" i="19" s="1"/>
  <c r="W20" i="19" s="1"/>
  <c r="X20" i="19" s="1"/>
  <c r="Y20" i="19" s="1"/>
  <c r="Z20" i="19" s="1"/>
  <c r="AA20" i="19" s="1"/>
  <c r="AB20" i="19" s="1"/>
  <c r="W6" i="19"/>
  <c r="V6" i="19"/>
  <c r="U6" i="19"/>
  <c r="T6" i="19"/>
  <c r="M6" i="19"/>
  <c r="AB4" i="19"/>
  <c r="AB6" i="19" s="1"/>
  <c r="AA4" i="19"/>
  <c r="AA6" i="19" s="1"/>
  <c r="Z4" i="19"/>
  <c r="Y4" i="19"/>
  <c r="Y6" i="19" s="1"/>
  <c r="X4" i="19"/>
  <c r="W4" i="19"/>
  <c r="V4" i="19"/>
  <c r="U4" i="19"/>
  <c r="T4" i="19"/>
  <c r="S4" i="19"/>
  <c r="S6" i="19" s="1"/>
  <c r="R4" i="19"/>
  <c r="R6" i="19" s="1"/>
  <c r="Q4" i="19"/>
  <c r="Q6" i="19" s="1"/>
  <c r="P4" i="19"/>
  <c r="O4" i="19"/>
  <c r="N4" i="19"/>
  <c r="M4" i="19"/>
  <c r="L4" i="19"/>
  <c r="L6" i="19" s="1"/>
  <c r="AB3" i="19"/>
  <c r="AA3" i="19"/>
  <c r="Z3" i="19"/>
  <c r="Y3" i="19"/>
  <c r="X3" i="19"/>
  <c r="W3" i="19"/>
  <c r="V3" i="19"/>
  <c r="U3" i="19"/>
  <c r="T3" i="19"/>
  <c r="S3" i="19"/>
  <c r="R3" i="19"/>
  <c r="Q3" i="19"/>
  <c r="P3" i="19"/>
  <c r="O3" i="19"/>
  <c r="N3" i="19"/>
  <c r="M3" i="19"/>
  <c r="L3" i="19"/>
  <c r="M2" i="19"/>
  <c r="L2" i="19"/>
  <c r="G65" i="18" l="1"/>
  <c r="G103" i="18"/>
  <c r="N2" i="7"/>
  <c r="N2" i="19"/>
  <c r="G71" i="18"/>
  <c r="G77" i="18" s="1"/>
  <c r="H77" i="18" s="1"/>
  <c r="E50" i="18"/>
  <c r="E53" i="18" s="1"/>
  <c r="I53" i="18" s="1"/>
  <c r="M21" i="21" s="1"/>
  <c r="G68" i="18"/>
  <c r="H68" i="18" s="1"/>
  <c r="E38" i="18"/>
  <c r="I38" i="18" s="1"/>
  <c r="E18" i="21" s="1"/>
  <c r="E44" i="18"/>
  <c r="E47" i="18" s="1"/>
  <c r="I47" i="18" s="1"/>
  <c r="I21" i="21" s="1"/>
  <c r="G62" i="18"/>
  <c r="H62" i="18" s="1"/>
  <c r="H13" i="20"/>
  <c r="J13" i="20" s="1"/>
  <c r="L13" i="20" s="1"/>
  <c r="I13" i="20"/>
  <c r="K13" i="20" s="1"/>
  <c r="M13" i="20" s="1"/>
  <c r="F15" i="20"/>
  <c r="G14" i="20"/>
  <c r="H69" i="18"/>
  <c r="G75" i="18"/>
  <c r="H75" i="18" s="1"/>
  <c r="H71" i="18"/>
  <c r="P28" i="7"/>
  <c r="P40" i="7"/>
  <c r="P52" i="7"/>
  <c r="P59" i="7"/>
  <c r="P35" i="7"/>
  <c r="P47" i="7"/>
  <c r="P54" i="7"/>
  <c r="P66" i="7"/>
  <c r="P30" i="7"/>
  <c r="P42" i="7"/>
  <c r="P49" i="7"/>
  <c r="P61" i="7"/>
  <c r="P37" i="7"/>
  <c r="P44" i="7"/>
  <c r="P56" i="7"/>
  <c r="P63" i="7"/>
  <c r="P32" i="7"/>
  <c r="P39" i="7"/>
  <c r="P51" i="7"/>
  <c r="P58" i="7"/>
  <c r="P53" i="7"/>
  <c r="P34" i="7"/>
  <c r="P46" i="7"/>
  <c r="P29" i="7"/>
  <c r="P41" i="7"/>
  <c r="P36" i="7"/>
  <c r="P43" i="7"/>
  <c r="P33" i="7"/>
  <c r="P45" i="7"/>
  <c r="P57" i="7"/>
  <c r="P64" i="7"/>
  <c r="P65" i="7"/>
  <c r="P62" i="7"/>
  <c r="P50" i="7"/>
  <c r="P38" i="7"/>
  <c r="P67" i="7"/>
  <c r="P48" i="7"/>
  <c r="P31" i="7"/>
  <c r="P60" i="7"/>
  <c r="P55" i="7"/>
  <c r="R16" i="7"/>
  <c r="Q19" i="7"/>
  <c r="Q15" i="7"/>
  <c r="R8" i="7"/>
  <c r="N6" i="19"/>
  <c r="X6" i="19"/>
  <c r="O6" i="19"/>
  <c r="P6" i="19"/>
  <c r="Z6" i="19"/>
  <c r="E41" i="18" l="1"/>
  <c r="I44" i="18"/>
  <c r="I18" i="21" s="1"/>
  <c r="I50" i="18"/>
  <c r="M18" i="21" s="1"/>
  <c r="O2" i="7"/>
  <c r="O2" i="19"/>
  <c r="G74" i="18"/>
  <c r="H74" i="18" s="1"/>
  <c r="H14" i="20"/>
  <c r="J14" i="20" s="1"/>
  <c r="L14" i="20" s="1"/>
  <c r="I14" i="20"/>
  <c r="K14" i="20" s="1"/>
  <c r="M14" i="20" s="1"/>
  <c r="F16" i="20"/>
  <c r="G15" i="20"/>
  <c r="H65" i="18"/>
  <c r="I41" i="18"/>
  <c r="E21" i="21" s="1"/>
  <c r="Q33" i="7"/>
  <c r="Q45" i="7"/>
  <c r="Q57" i="7"/>
  <c r="Q64" i="7"/>
  <c r="Q28" i="7"/>
  <c r="Q40" i="7"/>
  <c r="Q52" i="7"/>
  <c r="Q59" i="7"/>
  <c r="Q58" i="7"/>
  <c r="Q35" i="7"/>
  <c r="Q47" i="7"/>
  <c r="Q54" i="7"/>
  <c r="Q66" i="7"/>
  <c r="Q51" i="7"/>
  <c r="Q30" i="7"/>
  <c r="Q42" i="7"/>
  <c r="Q49" i="7"/>
  <c r="Q61" i="7"/>
  <c r="Q37" i="7"/>
  <c r="Q44" i="7"/>
  <c r="Q56" i="7"/>
  <c r="Q63" i="7"/>
  <c r="Q32" i="7"/>
  <c r="Q39" i="7"/>
  <c r="Q34" i="7"/>
  <c r="Q46" i="7"/>
  <c r="Q29" i="7"/>
  <c r="Q41" i="7"/>
  <c r="Q31" i="7"/>
  <c r="Q38" i="7"/>
  <c r="Q50" i="7"/>
  <c r="Q62" i="7"/>
  <c r="Q48" i="7"/>
  <c r="Q55" i="7"/>
  <c r="Q65" i="7"/>
  <c r="Q60" i="7"/>
  <c r="Q53" i="7"/>
  <c r="Q67" i="7"/>
  <c r="Q43" i="7"/>
  <c r="Q36" i="7"/>
  <c r="S16" i="7"/>
  <c r="R19" i="7"/>
  <c r="S8" i="7"/>
  <c r="R15" i="7"/>
  <c r="T42" i="10"/>
  <c r="U42" i="10"/>
  <c r="V42" i="10"/>
  <c r="W42" i="10"/>
  <c r="X42" i="10"/>
  <c r="Y42" i="10"/>
  <c r="Z42" i="10"/>
  <c r="AA42" i="10"/>
  <c r="AB42" i="10"/>
  <c r="M42" i="10"/>
  <c r="M43" i="10" s="1"/>
  <c r="N42" i="10"/>
  <c r="N43" i="10" s="1"/>
  <c r="O42" i="10"/>
  <c r="O43" i="10" s="1"/>
  <c r="P42" i="10"/>
  <c r="Q42" i="10"/>
  <c r="R42" i="10"/>
  <c r="S42" i="10"/>
  <c r="L42" i="10"/>
  <c r="L43" i="10" s="1"/>
  <c r="P2" i="7" l="1"/>
  <c r="P2" i="19"/>
  <c r="H15" i="20"/>
  <c r="J15" i="20" s="1"/>
  <c r="L15" i="20" s="1"/>
  <c r="I15" i="20"/>
  <c r="K15" i="20" s="1"/>
  <c r="M15" i="20" s="1"/>
  <c r="F17" i="20"/>
  <c r="G16" i="20"/>
  <c r="R31" i="7"/>
  <c r="R38" i="7"/>
  <c r="R50" i="7"/>
  <c r="R62" i="7"/>
  <c r="R33" i="7"/>
  <c r="R45" i="7"/>
  <c r="R57" i="7"/>
  <c r="R64" i="7"/>
  <c r="R28" i="7"/>
  <c r="R40" i="7"/>
  <c r="R52" i="7"/>
  <c r="R59" i="7"/>
  <c r="R44" i="7"/>
  <c r="R35" i="7"/>
  <c r="R47" i="7"/>
  <c r="R54" i="7"/>
  <c r="R66" i="7"/>
  <c r="R30" i="7"/>
  <c r="R42" i="7"/>
  <c r="R49" i="7"/>
  <c r="R61" i="7"/>
  <c r="R37" i="7"/>
  <c r="R32" i="7"/>
  <c r="R39" i="7"/>
  <c r="R34" i="7"/>
  <c r="R46" i="7"/>
  <c r="R36" i="7"/>
  <c r="R43" i="7"/>
  <c r="R55" i="7"/>
  <c r="R67" i="7"/>
  <c r="R60" i="7"/>
  <c r="R41" i="7"/>
  <c r="R29" i="7"/>
  <c r="R65" i="7"/>
  <c r="R56" i="7"/>
  <c r="R58" i="7"/>
  <c r="R48" i="7"/>
  <c r="R63" i="7"/>
  <c r="R53" i="7"/>
  <c r="R51" i="7"/>
  <c r="T16" i="7"/>
  <c r="S19" i="7"/>
  <c r="S15" i="7"/>
  <c r="T8" i="7"/>
  <c r="O46" i="10"/>
  <c r="P46" i="10" s="1"/>
  <c r="Q46" i="10" s="1"/>
  <c r="R46" i="10" s="1"/>
  <c r="S46" i="10" s="1"/>
  <c r="T46" i="10" s="1"/>
  <c r="U46" i="10" s="1"/>
  <c r="V46" i="10" s="1"/>
  <c r="W46" i="10" s="1"/>
  <c r="X46" i="10" s="1"/>
  <c r="Y46" i="10" s="1"/>
  <c r="Z46" i="10" s="1"/>
  <c r="AA46" i="10" s="1"/>
  <c r="AB46" i="10" s="1"/>
  <c r="Q2" i="7" l="1"/>
  <c r="Q2" i="19"/>
  <c r="H16" i="20"/>
  <c r="J16" i="20" s="1"/>
  <c r="L16" i="20" s="1"/>
  <c r="I16" i="20"/>
  <c r="K16" i="20" s="1"/>
  <c r="M16" i="20" s="1"/>
  <c r="F18" i="20"/>
  <c r="G17" i="20"/>
  <c r="S36" i="7"/>
  <c r="S43" i="7"/>
  <c r="S55" i="7"/>
  <c r="S67" i="7"/>
  <c r="S31" i="7"/>
  <c r="S38" i="7"/>
  <c r="S50" i="7"/>
  <c r="S62" i="7"/>
  <c r="S33" i="7"/>
  <c r="S45" i="7"/>
  <c r="S57" i="7"/>
  <c r="S64" i="7"/>
  <c r="S28" i="7"/>
  <c r="S40" i="7"/>
  <c r="S52" i="7"/>
  <c r="S59" i="7"/>
  <c r="S49" i="7"/>
  <c r="S35" i="7"/>
  <c r="S47" i="7"/>
  <c r="S54" i="7"/>
  <c r="S66" i="7"/>
  <c r="S30" i="7"/>
  <c r="S42" i="7"/>
  <c r="S37" i="7"/>
  <c r="S44" i="7"/>
  <c r="S32" i="7"/>
  <c r="S39" i="7"/>
  <c r="S29" i="7"/>
  <c r="S41" i="7"/>
  <c r="S48" i="7"/>
  <c r="S60" i="7"/>
  <c r="S34" i="7"/>
  <c r="S58" i="7"/>
  <c r="S51" i="7"/>
  <c r="S65" i="7"/>
  <c r="S46" i="7"/>
  <c r="S56" i="7"/>
  <c r="S53" i="7"/>
  <c r="S63" i="7"/>
  <c r="S61" i="7"/>
  <c r="U16" i="7"/>
  <c r="T19" i="7"/>
  <c r="T15" i="7"/>
  <c r="U8" i="7"/>
  <c r="E9" i="16"/>
  <c r="D10" i="16"/>
  <c r="E10" i="16"/>
  <c r="D11" i="16"/>
  <c r="E15" i="16"/>
  <c r="D16" i="16"/>
  <c r="E16" i="16"/>
  <c r="E18" i="16"/>
  <c r="D19" i="16"/>
  <c r="E23" i="16"/>
  <c r="D24" i="16"/>
  <c r="E24" i="16"/>
  <c r="D25" i="16"/>
  <c r="E25" i="16"/>
  <c r="E30" i="16"/>
  <c r="D31" i="16"/>
  <c r="E31" i="16"/>
  <c r="E33" i="16"/>
  <c r="E36" i="16"/>
  <c r="E38" i="16"/>
  <c r="D39" i="16"/>
  <c r="E39" i="16"/>
  <c r="D40" i="16"/>
  <c r="E44" i="16"/>
  <c r="D45" i="16"/>
  <c r="E45" i="16"/>
  <c r="D46" i="16"/>
  <c r="E46" i="16"/>
  <c r="D51" i="16"/>
  <c r="E51" i="16"/>
  <c r="E53" i="16"/>
  <c r="D54" i="16"/>
  <c r="E54" i="16"/>
  <c r="D59" i="16"/>
  <c r="E59" i="16"/>
  <c r="D60" i="16"/>
  <c r="E60" i="16"/>
  <c r="D61" i="16"/>
  <c r="E65" i="16"/>
  <c r="D66" i="16"/>
  <c r="E66" i="16"/>
  <c r="E68" i="16"/>
  <c r="D69" i="16"/>
  <c r="E73" i="16"/>
  <c r="D74" i="16"/>
  <c r="E74" i="16"/>
  <c r="D75" i="16"/>
  <c r="E75" i="16"/>
  <c r="D80" i="16"/>
  <c r="E80" i="16"/>
  <c r="D81" i="16"/>
  <c r="E81" i="16"/>
  <c r="E83" i="16"/>
  <c r="E86" i="16"/>
  <c r="E88" i="16"/>
  <c r="D89" i="16"/>
  <c r="E89" i="16"/>
  <c r="D90" i="16"/>
  <c r="E94" i="16"/>
  <c r="D95" i="16"/>
  <c r="E95" i="16"/>
  <c r="D96" i="16"/>
  <c r="E96" i="16"/>
  <c r="D101" i="16"/>
  <c r="E101" i="16"/>
  <c r="E103" i="16"/>
  <c r="D104" i="16"/>
  <c r="E104" i="16"/>
  <c r="D109" i="16"/>
  <c r="E109" i="16"/>
  <c r="D110" i="16"/>
  <c r="E110" i="16"/>
  <c r="D111" i="16"/>
  <c r="E115" i="16"/>
  <c r="D116" i="16"/>
  <c r="E116" i="16"/>
  <c r="E118" i="16"/>
  <c r="D119" i="16"/>
  <c r="E123" i="16"/>
  <c r="D124" i="16"/>
  <c r="E124" i="16"/>
  <c r="D125" i="16"/>
  <c r="E125" i="16"/>
  <c r="D130" i="16"/>
  <c r="E130" i="16"/>
  <c r="D131" i="16"/>
  <c r="E131" i="16"/>
  <c r="E133" i="16"/>
  <c r="E136" i="16"/>
  <c r="E138" i="16"/>
  <c r="D139" i="16"/>
  <c r="E139" i="16"/>
  <c r="D140" i="16"/>
  <c r="E144" i="16"/>
  <c r="D145" i="16"/>
  <c r="E145" i="16"/>
  <c r="D146" i="16"/>
  <c r="E146" i="16"/>
  <c r="E150" i="16"/>
  <c r="D151" i="16"/>
  <c r="E151" i="16"/>
  <c r="E153" i="16"/>
  <c r="D154" i="16"/>
  <c r="E154" i="16"/>
  <c r="E158" i="16"/>
  <c r="D159" i="16"/>
  <c r="E159" i="16"/>
  <c r="D160" i="16"/>
  <c r="E160" i="16"/>
  <c r="D161" i="16"/>
  <c r="E164" i="16"/>
  <c r="E165" i="16"/>
  <c r="D166" i="16"/>
  <c r="E166" i="16"/>
  <c r="E168" i="16"/>
  <c r="D169" i="16"/>
  <c r="E171" i="16"/>
  <c r="E173" i="16"/>
  <c r="D174" i="16"/>
  <c r="E174" i="16"/>
  <c r="D175" i="16"/>
  <c r="E175" i="16"/>
  <c r="E179" i="16"/>
  <c r="D180" i="16"/>
  <c r="E180" i="16"/>
  <c r="D181" i="16"/>
  <c r="E181" i="16"/>
  <c r="E183" i="16"/>
  <c r="E185" i="16"/>
  <c r="D186" i="16"/>
  <c r="E186" i="16"/>
  <c r="E188" i="16"/>
  <c r="D189" i="16"/>
  <c r="E189" i="16"/>
  <c r="D190" i="16"/>
  <c r="E193" i="16"/>
  <c r="D194" i="16"/>
  <c r="E194" i="16"/>
  <c r="D195" i="16"/>
  <c r="E195" i="16"/>
  <c r="D196" i="16"/>
  <c r="E196" i="16"/>
  <c r="E200" i="16"/>
  <c r="D201" i="16"/>
  <c r="E201" i="16"/>
  <c r="E203" i="16"/>
  <c r="D204" i="16"/>
  <c r="E204" i="16"/>
  <c r="E206" i="16"/>
  <c r="E208" i="16"/>
  <c r="D209" i="16"/>
  <c r="E209" i="16"/>
  <c r="D210" i="16"/>
  <c r="E210" i="16"/>
  <c r="D211" i="16"/>
  <c r="E214" i="16"/>
  <c r="D215" i="16"/>
  <c r="E215" i="16"/>
  <c r="D216" i="16"/>
  <c r="E216" i="16"/>
  <c r="E218" i="16"/>
  <c r="D219" i="16"/>
  <c r="E221" i="16"/>
  <c r="E223" i="16"/>
  <c r="D224" i="16"/>
  <c r="E224" i="16"/>
  <c r="D225" i="16"/>
  <c r="E225" i="16"/>
  <c r="H4" i="16"/>
  <c r="E7" i="16" s="1"/>
  <c r="H3" i="16"/>
  <c r="D7" i="16" s="1"/>
  <c r="H11" i="16"/>
  <c r="H19" i="16" s="1"/>
  <c r="H12" i="16"/>
  <c r="H13" i="16"/>
  <c r="H14" i="16"/>
  <c r="H15" i="16"/>
  <c r="H16" i="16"/>
  <c r="H17" i="16"/>
  <c r="H18" i="16"/>
  <c r="H10" i="16"/>
  <c r="E25" i="6"/>
  <c r="E24" i="6"/>
  <c r="G34" i="8"/>
  <c r="F34" i="8"/>
  <c r="E34" i="8"/>
  <c r="D34" i="8"/>
  <c r="G16" i="8"/>
  <c r="L13" i="8"/>
  <c r="L11" i="8"/>
  <c r="L10" i="8"/>
  <c r="L9" i="8"/>
  <c r="L8" i="8"/>
  <c r="AB4" i="8"/>
  <c r="AA4" i="8"/>
  <c r="Z4" i="8"/>
  <c r="Y4" i="8"/>
  <c r="X4" i="8"/>
  <c r="W4" i="8"/>
  <c r="V4" i="8"/>
  <c r="U4" i="8"/>
  <c r="T4" i="8"/>
  <c r="S4" i="8"/>
  <c r="R4" i="8"/>
  <c r="Q4" i="8"/>
  <c r="P4" i="8"/>
  <c r="O4" i="8"/>
  <c r="N4" i="8"/>
  <c r="M4" i="8"/>
  <c r="L4" i="8"/>
  <c r="AB3" i="8"/>
  <c r="AA3" i="8"/>
  <c r="Z3" i="8"/>
  <c r="Y3" i="8"/>
  <c r="X3" i="8"/>
  <c r="W3" i="8"/>
  <c r="V3" i="8"/>
  <c r="U3" i="8"/>
  <c r="T3" i="8"/>
  <c r="S3" i="8"/>
  <c r="R3" i="8"/>
  <c r="Q3" i="8"/>
  <c r="P3" i="8"/>
  <c r="O3" i="8"/>
  <c r="N3" i="8"/>
  <c r="M3" i="8"/>
  <c r="L3" i="8"/>
  <c r="L12" i="8" s="1"/>
  <c r="M12" i="8" s="1"/>
  <c r="N12" i="8" s="1"/>
  <c r="O12" i="8" s="1"/>
  <c r="P12" i="8" s="1"/>
  <c r="Q12" i="8" s="1"/>
  <c r="R12" i="8" s="1"/>
  <c r="S12" i="8" s="1"/>
  <c r="T12" i="8" s="1"/>
  <c r="U12" i="8" s="1"/>
  <c r="V12" i="8" s="1"/>
  <c r="W12" i="8" s="1"/>
  <c r="X12" i="8" s="1"/>
  <c r="Y12" i="8" s="1"/>
  <c r="Z12" i="8" s="1"/>
  <c r="AA12" i="8" s="1"/>
  <c r="AB12" i="8" s="1"/>
  <c r="R2" i="8"/>
  <c r="Q2" i="8"/>
  <c r="P2" i="8"/>
  <c r="O2" i="8"/>
  <c r="N2" i="8"/>
  <c r="M2" i="8"/>
  <c r="L2" i="8"/>
  <c r="E11" i="9"/>
  <c r="E10" i="9"/>
  <c r="D10" i="9"/>
  <c r="L16" i="7"/>
  <c r="F63" i="6"/>
  <c r="C63" i="6"/>
  <c r="D59" i="6"/>
  <c r="E59" i="6"/>
  <c r="F59" i="6"/>
  <c r="D60" i="6"/>
  <c r="F60" i="6" s="1"/>
  <c r="E60" i="6"/>
  <c r="D61" i="6"/>
  <c r="F61" i="6" s="1"/>
  <c r="E61" i="6"/>
  <c r="D62" i="6"/>
  <c r="F62" i="6" s="1"/>
  <c r="E62" i="6"/>
  <c r="C59" i="6"/>
  <c r="C60" i="6" s="1"/>
  <c r="C61" i="6" s="1"/>
  <c r="C62" i="6" s="1"/>
  <c r="D63" i="6"/>
  <c r="G16" i="6"/>
  <c r="G11" i="6"/>
  <c r="G9" i="6"/>
  <c r="E9" i="6"/>
  <c r="G8" i="6"/>
  <c r="E8" i="6"/>
  <c r="J81" i="15"/>
  <c r="J120" i="15"/>
  <c r="E60" i="12"/>
  <c r="D60" i="12"/>
  <c r="L58" i="12"/>
  <c r="K58" i="12"/>
  <c r="G60" i="12"/>
  <c r="H60" i="12" s="1"/>
  <c r="E112" i="15"/>
  <c r="F112" i="15" s="1"/>
  <c r="G112" i="15" s="1"/>
  <c r="H112" i="15" s="1"/>
  <c r="I112" i="15" s="1"/>
  <c r="J112" i="15" s="1"/>
  <c r="K112" i="15" s="1"/>
  <c r="L112" i="15" s="1"/>
  <c r="M112" i="15" s="1"/>
  <c r="N112" i="15" s="1"/>
  <c r="O112" i="15" s="1"/>
  <c r="P112" i="15" s="1"/>
  <c r="Q112" i="15" s="1"/>
  <c r="R112" i="15" s="1"/>
  <c r="S112" i="15" s="1"/>
  <c r="T112" i="15" s="1"/>
  <c r="E113" i="15"/>
  <c r="F113" i="15" s="1"/>
  <c r="G113" i="15" s="1"/>
  <c r="H113" i="15" s="1"/>
  <c r="I113" i="15" s="1"/>
  <c r="J113" i="15" s="1"/>
  <c r="K113" i="15" s="1"/>
  <c r="L113" i="15" s="1"/>
  <c r="M113" i="15" s="1"/>
  <c r="N113" i="15" s="1"/>
  <c r="O113" i="15" s="1"/>
  <c r="P113" i="15" s="1"/>
  <c r="Q113" i="15" s="1"/>
  <c r="R113" i="15" s="1"/>
  <c r="S113" i="15" s="1"/>
  <c r="T113" i="15" s="1"/>
  <c r="E114" i="15"/>
  <c r="F114" i="15" s="1"/>
  <c r="G114" i="15" s="1"/>
  <c r="H114" i="15" s="1"/>
  <c r="I114" i="15" s="1"/>
  <c r="J114" i="15" s="1"/>
  <c r="K114" i="15" s="1"/>
  <c r="L114" i="15" s="1"/>
  <c r="M114" i="15" s="1"/>
  <c r="N114" i="15" s="1"/>
  <c r="O114" i="15" s="1"/>
  <c r="P114" i="15" s="1"/>
  <c r="Q114" i="15" s="1"/>
  <c r="R114" i="15" s="1"/>
  <c r="S114" i="15" s="1"/>
  <c r="T114" i="15" s="1"/>
  <c r="E115" i="15"/>
  <c r="F115" i="15" s="1"/>
  <c r="G115" i="15" s="1"/>
  <c r="H115" i="15" s="1"/>
  <c r="I115" i="15" s="1"/>
  <c r="J115" i="15" s="1"/>
  <c r="K115" i="15" s="1"/>
  <c r="L115" i="15" s="1"/>
  <c r="M115" i="15" s="1"/>
  <c r="N115" i="15" s="1"/>
  <c r="O115" i="15" s="1"/>
  <c r="P115" i="15" s="1"/>
  <c r="Q115" i="15" s="1"/>
  <c r="R115" i="15" s="1"/>
  <c r="S115" i="15" s="1"/>
  <c r="T115" i="15" s="1"/>
  <c r="E116" i="15"/>
  <c r="F116" i="15" s="1"/>
  <c r="G116" i="15" s="1"/>
  <c r="H116" i="15" s="1"/>
  <c r="I116" i="15" s="1"/>
  <c r="J116" i="15" s="1"/>
  <c r="K116" i="15" s="1"/>
  <c r="L116" i="15" s="1"/>
  <c r="M116" i="15" s="1"/>
  <c r="N116" i="15" s="1"/>
  <c r="O116" i="15" s="1"/>
  <c r="P116" i="15" s="1"/>
  <c r="Q116" i="15" s="1"/>
  <c r="R116" i="15" s="1"/>
  <c r="S116" i="15" s="1"/>
  <c r="T116" i="15" s="1"/>
  <c r="E117" i="15"/>
  <c r="F117" i="15" s="1"/>
  <c r="G117" i="15" s="1"/>
  <c r="H117" i="15" s="1"/>
  <c r="I117" i="15" s="1"/>
  <c r="J117" i="15" s="1"/>
  <c r="K117" i="15" s="1"/>
  <c r="L117" i="15" s="1"/>
  <c r="M117" i="15" s="1"/>
  <c r="N117" i="15" s="1"/>
  <c r="O117" i="15" s="1"/>
  <c r="P117" i="15" s="1"/>
  <c r="Q117" i="15" s="1"/>
  <c r="R117" i="15" s="1"/>
  <c r="S117" i="15" s="1"/>
  <c r="T117" i="15" s="1"/>
  <c r="E118" i="15"/>
  <c r="F118" i="15" s="1"/>
  <c r="G118" i="15" s="1"/>
  <c r="H118" i="15" s="1"/>
  <c r="I118" i="15" s="1"/>
  <c r="J118" i="15" s="1"/>
  <c r="K118" i="15" s="1"/>
  <c r="L118" i="15" s="1"/>
  <c r="M118" i="15" s="1"/>
  <c r="N118" i="15" s="1"/>
  <c r="O118" i="15" s="1"/>
  <c r="P118" i="15" s="1"/>
  <c r="Q118" i="15" s="1"/>
  <c r="R118" i="15" s="1"/>
  <c r="S118" i="15" s="1"/>
  <c r="T118" i="15" s="1"/>
  <c r="E119" i="15"/>
  <c r="F119" i="15" s="1"/>
  <c r="G119" i="15" s="1"/>
  <c r="H119" i="15" s="1"/>
  <c r="I119" i="15" s="1"/>
  <c r="J119" i="15" s="1"/>
  <c r="K119" i="15" s="1"/>
  <c r="L119" i="15" s="1"/>
  <c r="M119" i="15" s="1"/>
  <c r="N119" i="15" s="1"/>
  <c r="O119" i="15" s="1"/>
  <c r="P119" i="15" s="1"/>
  <c r="Q119" i="15" s="1"/>
  <c r="R119" i="15" s="1"/>
  <c r="S119" i="15" s="1"/>
  <c r="T119" i="15" s="1"/>
  <c r="F111" i="15"/>
  <c r="G111" i="15" s="1"/>
  <c r="H111" i="15" s="1"/>
  <c r="I111" i="15" s="1"/>
  <c r="J111" i="15" s="1"/>
  <c r="K111" i="15" s="1"/>
  <c r="L111" i="15" s="1"/>
  <c r="M111" i="15" s="1"/>
  <c r="N111" i="15" s="1"/>
  <c r="O111" i="15" s="1"/>
  <c r="P111" i="15" s="1"/>
  <c r="Q111" i="15" s="1"/>
  <c r="R111" i="15" s="1"/>
  <c r="S111" i="15" s="1"/>
  <c r="T111" i="15" s="1"/>
  <c r="E111" i="15"/>
  <c r="D73" i="15"/>
  <c r="F73" i="15"/>
  <c r="D74" i="15"/>
  <c r="E74" i="15"/>
  <c r="F74" i="15"/>
  <c r="O74" i="15"/>
  <c r="P74" i="15"/>
  <c r="D75" i="15"/>
  <c r="E75" i="15"/>
  <c r="H75" i="15"/>
  <c r="D76" i="15"/>
  <c r="E76" i="15"/>
  <c r="G76" i="15"/>
  <c r="L76" i="15"/>
  <c r="T76" i="15"/>
  <c r="D77" i="15"/>
  <c r="E77" i="15"/>
  <c r="O77" i="15"/>
  <c r="T77" i="15"/>
  <c r="D78" i="15"/>
  <c r="F78" i="15"/>
  <c r="H78" i="15"/>
  <c r="R78" i="15"/>
  <c r="D79" i="15"/>
  <c r="G79" i="15"/>
  <c r="K79" i="15"/>
  <c r="Q79" i="15"/>
  <c r="D80" i="15"/>
  <c r="N80" i="15"/>
  <c r="S80" i="15"/>
  <c r="F72" i="15"/>
  <c r="H72" i="15"/>
  <c r="N72" i="15"/>
  <c r="R72" i="15"/>
  <c r="D72" i="15"/>
  <c r="E36" i="15"/>
  <c r="F36" i="15"/>
  <c r="G36" i="15"/>
  <c r="H36" i="15"/>
  <c r="I36" i="15"/>
  <c r="J36" i="15"/>
  <c r="K36" i="15"/>
  <c r="L36" i="15"/>
  <c r="M36" i="15"/>
  <c r="N36" i="15"/>
  <c r="O36" i="15"/>
  <c r="P36" i="15"/>
  <c r="Q36" i="15"/>
  <c r="R36" i="15"/>
  <c r="S36" i="15"/>
  <c r="T36" i="15"/>
  <c r="U36" i="15"/>
  <c r="AL36" i="15"/>
  <c r="AM36" i="15"/>
  <c r="AN36" i="15"/>
  <c r="AO36" i="15"/>
  <c r="AP36" i="15"/>
  <c r="AQ36" i="15"/>
  <c r="AR36" i="15"/>
  <c r="AS36" i="15"/>
  <c r="AT36" i="15"/>
  <c r="AU36" i="15"/>
  <c r="AV36" i="15"/>
  <c r="AW36" i="15"/>
  <c r="AX36" i="15"/>
  <c r="AY36" i="15"/>
  <c r="AZ36" i="15"/>
  <c r="BA36" i="15"/>
  <c r="BB36" i="15"/>
  <c r="D36" i="15"/>
  <c r="E19" i="15"/>
  <c r="F19" i="15"/>
  <c r="G19" i="15"/>
  <c r="G28" i="15" s="1"/>
  <c r="H19" i="15"/>
  <c r="H35" i="15" s="1"/>
  <c r="I19" i="15"/>
  <c r="I32" i="15" s="1"/>
  <c r="J19" i="15"/>
  <c r="J29" i="15" s="1"/>
  <c r="K19" i="15"/>
  <c r="K29" i="15" s="1"/>
  <c r="L19" i="15"/>
  <c r="L33" i="15" s="1"/>
  <c r="M19" i="15"/>
  <c r="M30" i="15" s="1"/>
  <c r="N19" i="15"/>
  <c r="N30" i="15" s="1"/>
  <c r="O19" i="15"/>
  <c r="P19" i="15"/>
  <c r="Q19" i="15"/>
  <c r="Q28" i="15" s="1"/>
  <c r="R19" i="15"/>
  <c r="R35" i="15" s="1"/>
  <c r="S19" i="15"/>
  <c r="S32" i="15" s="1"/>
  <c r="T19" i="15"/>
  <c r="T29" i="15" s="1"/>
  <c r="D19" i="15"/>
  <c r="V19" i="15"/>
  <c r="W19" i="15"/>
  <c r="X19" i="15"/>
  <c r="X34" i="15" s="1"/>
  <c r="Y19" i="15"/>
  <c r="Y28" i="15" s="1"/>
  <c r="H73" i="15" s="1"/>
  <c r="Z19" i="15"/>
  <c r="Z28" i="15" s="1"/>
  <c r="I73" i="15" s="1"/>
  <c r="AA19" i="15"/>
  <c r="AA35" i="15" s="1"/>
  <c r="J80" i="15" s="1"/>
  <c r="AB19" i="15"/>
  <c r="AB29" i="15" s="1"/>
  <c r="K74" i="15" s="1"/>
  <c r="AC19" i="15"/>
  <c r="AC29" i="15" s="1"/>
  <c r="L74" i="15" s="1"/>
  <c r="AD19" i="15"/>
  <c r="AD35" i="15" s="1"/>
  <c r="M80" i="15" s="1"/>
  <c r="AE19" i="15"/>
  <c r="AE27" i="15" s="1"/>
  <c r="AF19" i="15"/>
  <c r="AG19" i="15"/>
  <c r="AH19" i="15"/>
  <c r="AH34" i="15" s="1"/>
  <c r="AI19" i="15"/>
  <c r="AI28" i="15" s="1"/>
  <c r="AJ19" i="15"/>
  <c r="AJ28" i="15" s="1"/>
  <c r="S73" i="15" s="1"/>
  <c r="AK19" i="15"/>
  <c r="AK35" i="15" s="1"/>
  <c r="T80" i="15" s="1"/>
  <c r="U19" i="15"/>
  <c r="U28" i="15" s="1"/>
  <c r="AL27" i="15"/>
  <c r="AM27" i="15"/>
  <c r="AN27" i="15"/>
  <c r="AO27" i="15"/>
  <c r="AP27" i="15"/>
  <c r="AQ27" i="15"/>
  <c r="AR27" i="15"/>
  <c r="AS27" i="15"/>
  <c r="AT27" i="15"/>
  <c r="AU27" i="15"/>
  <c r="AV27" i="15"/>
  <c r="AW27" i="15"/>
  <c r="AX27" i="15"/>
  <c r="AY27" i="15"/>
  <c r="AZ27" i="15"/>
  <c r="BA27" i="15"/>
  <c r="BB27" i="15"/>
  <c r="AL28" i="15"/>
  <c r="AM28" i="15"/>
  <c r="AN28" i="15"/>
  <c r="AO28" i="15"/>
  <c r="AP28" i="15"/>
  <c r="AQ28" i="15"/>
  <c r="AR28" i="15"/>
  <c r="AS28" i="15"/>
  <c r="AT28" i="15"/>
  <c r="AU28" i="15"/>
  <c r="AV28" i="15"/>
  <c r="AW28" i="15"/>
  <c r="AX28" i="15"/>
  <c r="AY28" i="15"/>
  <c r="AZ28" i="15"/>
  <c r="BA28" i="15"/>
  <c r="BB28" i="15"/>
  <c r="AL29" i="15"/>
  <c r="AM29" i="15"/>
  <c r="AN29" i="15"/>
  <c r="AO29" i="15"/>
  <c r="AP29" i="15"/>
  <c r="AQ29" i="15"/>
  <c r="AR29" i="15"/>
  <c r="AS29" i="15"/>
  <c r="AT29" i="15"/>
  <c r="AU29" i="15"/>
  <c r="AV29" i="15"/>
  <c r="AW29" i="15"/>
  <c r="AX29" i="15"/>
  <c r="AY29" i="15"/>
  <c r="AZ29" i="15"/>
  <c r="BA29" i="15"/>
  <c r="BB29" i="15"/>
  <c r="AL30" i="15"/>
  <c r="AM30" i="15"/>
  <c r="AN30" i="15"/>
  <c r="AO30" i="15"/>
  <c r="AP30" i="15"/>
  <c r="AQ30" i="15"/>
  <c r="AR30" i="15"/>
  <c r="AS30" i="15"/>
  <c r="AT30" i="15"/>
  <c r="AU30" i="15"/>
  <c r="AV30" i="15"/>
  <c r="AW30" i="15"/>
  <c r="AX30" i="15"/>
  <c r="AY30" i="15"/>
  <c r="AZ30" i="15"/>
  <c r="BA30" i="15"/>
  <c r="BB30" i="15"/>
  <c r="AL31" i="15"/>
  <c r="AM31" i="15"/>
  <c r="AN31" i="15"/>
  <c r="AO31" i="15"/>
  <c r="AP31" i="15"/>
  <c r="AQ31" i="15"/>
  <c r="AR31" i="15"/>
  <c r="AS31" i="15"/>
  <c r="AT31" i="15"/>
  <c r="AU31" i="15"/>
  <c r="AV31" i="15"/>
  <c r="AW31" i="15"/>
  <c r="AX31" i="15"/>
  <c r="AY31" i="15"/>
  <c r="AZ31" i="15"/>
  <c r="BA31" i="15"/>
  <c r="BB31" i="15"/>
  <c r="AL32" i="15"/>
  <c r="AM32" i="15"/>
  <c r="AN32" i="15"/>
  <c r="AO32" i="15"/>
  <c r="AP32" i="15"/>
  <c r="AQ32" i="15"/>
  <c r="AR32" i="15"/>
  <c r="AS32" i="15"/>
  <c r="AT32" i="15"/>
  <c r="AU32" i="15"/>
  <c r="AV32" i="15"/>
  <c r="AW32" i="15"/>
  <c r="AX32" i="15"/>
  <c r="AY32" i="15"/>
  <c r="AZ32" i="15"/>
  <c r="BA32" i="15"/>
  <c r="BB32" i="15"/>
  <c r="AL33" i="15"/>
  <c r="AM33" i="15"/>
  <c r="AN33" i="15"/>
  <c r="AO33" i="15"/>
  <c r="AP33" i="15"/>
  <c r="AQ33" i="15"/>
  <c r="AR33" i="15"/>
  <c r="AS33" i="15"/>
  <c r="AT33" i="15"/>
  <c r="AU33" i="15"/>
  <c r="AV33" i="15"/>
  <c r="AW33" i="15"/>
  <c r="AX33" i="15"/>
  <c r="AY33" i="15"/>
  <c r="AZ33" i="15"/>
  <c r="BA33" i="15"/>
  <c r="BB33" i="15"/>
  <c r="AL34" i="15"/>
  <c r="AM34" i="15"/>
  <c r="AN34" i="15"/>
  <c r="AO34" i="15"/>
  <c r="AP34" i="15"/>
  <c r="AQ34" i="15"/>
  <c r="AR34" i="15"/>
  <c r="AS34" i="15"/>
  <c r="AT34" i="15"/>
  <c r="AU34" i="15"/>
  <c r="AV34" i="15"/>
  <c r="AW34" i="15"/>
  <c r="AX34" i="15"/>
  <c r="AY34" i="15"/>
  <c r="AZ34" i="15"/>
  <c r="BA34" i="15"/>
  <c r="BB34" i="15"/>
  <c r="AL35" i="15"/>
  <c r="AM35" i="15"/>
  <c r="AN35" i="15"/>
  <c r="AO35" i="15"/>
  <c r="AP35" i="15"/>
  <c r="AQ35" i="15"/>
  <c r="AR35" i="15"/>
  <c r="AS35" i="15"/>
  <c r="AT35" i="15"/>
  <c r="AU35" i="15"/>
  <c r="AV35" i="15"/>
  <c r="AW35" i="15"/>
  <c r="AX35" i="15"/>
  <c r="AY35" i="15"/>
  <c r="AZ35" i="15"/>
  <c r="BA35" i="15"/>
  <c r="BB35" i="15"/>
  <c r="U27" i="15"/>
  <c r="V27" i="15"/>
  <c r="V36" i="15" s="1"/>
  <c r="W27" i="15"/>
  <c r="W36" i="15" s="1"/>
  <c r="Y27" i="15"/>
  <c r="AA27" i="15"/>
  <c r="J72" i="15" s="1"/>
  <c r="AB27" i="15"/>
  <c r="K72" i="15" s="1"/>
  <c r="AD27" i="15"/>
  <c r="M72" i="15" s="1"/>
  <c r="AF27" i="15"/>
  <c r="AF36" i="15" s="1"/>
  <c r="AG27" i="15"/>
  <c r="AG36" i="15" s="1"/>
  <c r="AI27" i="15"/>
  <c r="AK27" i="15"/>
  <c r="T72" i="15" s="1"/>
  <c r="V28" i="15"/>
  <c r="E73" i="15" s="1"/>
  <c r="W28" i="15"/>
  <c r="X28" i="15"/>
  <c r="G73" i="15" s="1"/>
  <c r="AA28" i="15"/>
  <c r="J73" i="15" s="1"/>
  <c r="AE28" i="15"/>
  <c r="N73" i="15" s="1"/>
  <c r="AF28" i="15"/>
  <c r="O73" i="15" s="1"/>
  <c r="AG28" i="15"/>
  <c r="P73" i="15" s="1"/>
  <c r="AK28" i="15"/>
  <c r="U29" i="15"/>
  <c r="V29" i="15"/>
  <c r="W29" i="15"/>
  <c r="Y29" i="15"/>
  <c r="H74" i="15" s="1"/>
  <c r="AA29" i="15"/>
  <c r="J74" i="15" s="1"/>
  <c r="AD29" i="15"/>
  <c r="M74" i="15" s="1"/>
  <c r="AF29" i="15"/>
  <c r="AG29" i="15"/>
  <c r="AI29" i="15"/>
  <c r="R74" i="15" s="1"/>
  <c r="AK29" i="15"/>
  <c r="T74" i="15" s="1"/>
  <c r="U30" i="15"/>
  <c r="V30" i="15"/>
  <c r="W30" i="15"/>
  <c r="F75" i="15" s="1"/>
  <c r="Y30" i="15"/>
  <c r="AA30" i="15"/>
  <c r="J75" i="15" s="1"/>
  <c r="AB30" i="15"/>
  <c r="K75" i="15" s="1"/>
  <c r="AD30" i="15"/>
  <c r="M75" i="15" s="1"/>
  <c r="AF30" i="15"/>
  <c r="O75" i="15" s="1"/>
  <c r="AG30" i="15"/>
  <c r="P75" i="15" s="1"/>
  <c r="AI30" i="15"/>
  <c r="R75" i="15" s="1"/>
  <c r="AK30" i="15"/>
  <c r="T75" i="15" s="1"/>
  <c r="V31" i="15"/>
  <c r="W31" i="15"/>
  <c r="F76" i="15" s="1"/>
  <c r="X31" i="15"/>
  <c r="AA31" i="15"/>
  <c r="J76" i="15" s="1"/>
  <c r="AC31" i="15"/>
  <c r="AE31" i="15"/>
  <c r="N76" i="15" s="1"/>
  <c r="AF31" i="15"/>
  <c r="O76" i="15" s="1"/>
  <c r="AG31" i="15"/>
  <c r="P76" i="15" s="1"/>
  <c r="AH31" i="15"/>
  <c r="Q76" i="15" s="1"/>
  <c r="AK31" i="15"/>
  <c r="U32" i="15"/>
  <c r="V32" i="15"/>
  <c r="W32" i="15"/>
  <c r="F77" i="15" s="1"/>
  <c r="Y32" i="15"/>
  <c r="H77" i="15" s="1"/>
  <c r="AA32" i="15"/>
  <c r="J77" i="15" s="1"/>
  <c r="AD32" i="15"/>
  <c r="M77" i="15" s="1"/>
  <c r="AF32" i="15"/>
  <c r="AG32" i="15"/>
  <c r="P77" i="15" s="1"/>
  <c r="AI32" i="15"/>
  <c r="R77" i="15" s="1"/>
  <c r="AK32" i="15"/>
  <c r="U33" i="15"/>
  <c r="V33" i="15"/>
  <c r="E78" i="15" s="1"/>
  <c r="W33" i="15"/>
  <c r="Y33" i="15"/>
  <c r="AA33" i="15"/>
  <c r="J78" i="15" s="1"/>
  <c r="AB33" i="15"/>
  <c r="K78" i="15" s="1"/>
  <c r="AD33" i="15"/>
  <c r="M78" i="15" s="1"/>
  <c r="AF33" i="15"/>
  <c r="O78" i="15" s="1"/>
  <c r="AG33" i="15"/>
  <c r="P78" i="15" s="1"/>
  <c r="AI33" i="15"/>
  <c r="AK33" i="15"/>
  <c r="T78" i="15" s="1"/>
  <c r="U34" i="15"/>
  <c r="V34" i="15"/>
  <c r="E79" i="15" s="1"/>
  <c r="W34" i="15"/>
  <c r="F79" i="15" s="1"/>
  <c r="AB34" i="15"/>
  <c r="AE34" i="15"/>
  <c r="N79" i="15" s="1"/>
  <c r="AF34" i="15"/>
  <c r="O79" i="15" s="1"/>
  <c r="AG34" i="15"/>
  <c r="P79" i="15" s="1"/>
  <c r="U35" i="15"/>
  <c r="V35" i="15"/>
  <c r="E80" i="15" s="1"/>
  <c r="W35" i="15"/>
  <c r="F80" i="15" s="1"/>
  <c r="X35" i="15"/>
  <c r="G80" i="15" s="1"/>
  <c r="Y35" i="15"/>
  <c r="H80" i="15" s="1"/>
  <c r="Z35" i="15"/>
  <c r="I80" i="15" s="1"/>
  <c r="AE35" i="15"/>
  <c r="AF35" i="15"/>
  <c r="O80" i="15" s="1"/>
  <c r="AG35" i="15"/>
  <c r="P80" i="15" s="1"/>
  <c r="AH35" i="15"/>
  <c r="Q80" i="15" s="1"/>
  <c r="AI35" i="15"/>
  <c r="R80" i="15" s="1"/>
  <c r="AJ35" i="15"/>
  <c r="D28" i="15"/>
  <c r="E28" i="15"/>
  <c r="F28" i="15"/>
  <c r="I28" i="15"/>
  <c r="J28" i="15"/>
  <c r="K28" i="15"/>
  <c r="O28" i="15"/>
  <c r="P28" i="15"/>
  <c r="S28" i="15"/>
  <c r="T28" i="15"/>
  <c r="D29" i="15"/>
  <c r="E29" i="15"/>
  <c r="F29" i="15"/>
  <c r="G29" i="15"/>
  <c r="H29" i="15"/>
  <c r="I29" i="15"/>
  <c r="O29" i="15"/>
  <c r="P29" i="15"/>
  <c r="Q29" i="15"/>
  <c r="R29" i="15"/>
  <c r="S29" i="15"/>
  <c r="D30" i="15"/>
  <c r="E30" i="15"/>
  <c r="F30" i="15"/>
  <c r="G30" i="15"/>
  <c r="H30" i="15"/>
  <c r="J30" i="15"/>
  <c r="K30" i="15"/>
  <c r="L30" i="15"/>
  <c r="O30" i="15"/>
  <c r="P30" i="15"/>
  <c r="Q30" i="15"/>
  <c r="R30" i="15"/>
  <c r="T30" i="15"/>
  <c r="D31" i="15"/>
  <c r="E31" i="15"/>
  <c r="F31" i="15"/>
  <c r="H31" i="15"/>
  <c r="I31" i="15"/>
  <c r="J31" i="15"/>
  <c r="K31" i="15"/>
  <c r="M31" i="15"/>
  <c r="N31" i="15"/>
  <c r="O31" i="15"/>
  <c r="P31" i="15"/>
  <c r="R31" i="15"/>
  <c r="S31" i="15"/>
  <c r="T31" i="15"/>
  <c r="D32" i="15"/>
  <c r="E32" i="15"/>
  <c r="F32" i="15"/>
  <c r="G32" i="15"/>
  <c r="H32" i="15"/>
  <c r="K32" i="15"/>
  <c r="O32" i="15"/>
  <c r="P32" i="15"/>
  <c r="Q32" i="15"/>
  <c r="R32" i="15"/>
  <c r="D33" i="15"/>
  <c r="E33" i="15"/>
  <c r="F33" i="15"/>
  <c r="G33" i="15"/>
  <c r="I33" i="15"/>
  <c r="J33" i="15"/>
  <c r="K33" i="15"/>
  <c r="O33" i="15"/>
  <c r="P33" i="15"/>
  <c r="Q33" i="15"/>
  <c r="S33" i="15"/>
  <c r="T33" i="15"/>
  <c r="D34" i="15"/>
  <c r="E34" i="15"/>
  <c r="F34" i="15"/>
  <c r="G34" i="15"/>
  <c r="H34" i="15"/>
  <c r="I34" i="15"/>
  <c r="J34" i="15"/>
  <c r="K34" i="15"/>
  <c r="L34" i="15"/>
  <c r="M34" i="15"/>
  <c r="N34" i="15"/>
  <c r="O34" i="15"/>
  <c r="P34" i="15"/>
  <c r="Q34" i="15"/>
  <c r="R34" i="15"/>
  <c r="S34" i="15"/>
  <c r="T34" i="15"/>
  <c r="D35" i="15"/>
  <c r="E35" i="15"/>
  <c r="F35" i="15"/>
  <c r="G35" i="15"/>
  <c r="J35" i="15"/>
  <c r="K35" i="15"/>
  <c r="L35" i="15"/>
  <c r="O35" i="15"/>
  <c r="P35" i="15"/>
  <c r="Q35" i="15"/>
  <c r="T35" i="15"/>
  <c r="E27" i="15"/>
  <c r="F27" i="15"/>
  <c r="G27" i="15"/>
  <c r="I27" i="15"/>
  <c r="J27" i="15"/>
  <c r="K27" i="15"/>
  <c r="O27" i="15"/>
  <c r="P27" i="15"/>
  <c r="Q27" i="15"/>
  <c r="S27" i="15"/>
  <c r="T27" i="15"/>
  <c r="D27" i="15"/>
  <c r="O38" i="2"/>
  <c r="P38" i="2"/>
  <c r="Q38" i="2"/>
  <c r="R38" i="2"/>
  <c r="Z38" i="2"/>
  <c r="AB38" i="2"/>
  <c r="L19" i="2"/>
  <c r="M19" i="2" s="1"/>
  <c r="N19" i="2" s="1"/>
  <c r="O19" i="2" s="1"/>
  <c r="P19" i="2" s="1"/>
  <c r="Q19" i="2" s="1"/>
  <c r="R19" i="2" s="1"/>
  <c r="S19" i="2" s="1"/>
  <c r="T19" i="2" s="1"/>
  <c r="U19" i="2" s="1"/>
  <c r="V19" i="2" s="1"/>
  <c r="W19" i="2" s="1"/>
  <c r="X19" i="2" s="1"/>
  <c r="Y19" i="2" s="1"/>
  <c r="Z19" i="2" s="1"/>
  <c r="AA19" i="2" s="1"/>
  <c r="AB19" i="2" s="1"/>
  <c r="M20" i="4"/>
  <c r="N20" i="4"/>
  <c r="O20" i="4"/>
  <c r="P20" i="4"/>
  <c r="Q20" i="4"/>
  <c r="R20" i="4"/>
  <c r="S20" i="4"/>
  <c r="T20" i="4"/>
  <c r="U20" i="4"/>
  <c r="V20" i="4"/>
  <c r="W20" i="4"/>
  <c r="X20" i="4"/>
  <c r="Y20" i="4"/>
  <c r="Z20" i="4"/>
  <c r="AA20" i="4"/>
  <c r="AB20" i="4"/>
  <c r="L20" i="4"/>
  <c r="M14" i="4"/>
  <c r="N14" i="4"/>
  <c r="O14" i="4"/>
  <c r="P14" i="4"/>
  <c r="Q14" i="4"/>
  <c r="R14" i="4"/>
  <c r="S14" i="4"/>
  <c r="T14" i="4"/>
  <c r="U14" i="4"/>
  <c r="V14" i="4"/>
  <c r="W14" i="4"/>
  <c r="X14" i="4"/>
  <c r="Y14" i="4"/>
  <c r="Z14" i="4"/>
  <c r="AA14" i="4"/>
  <c r="AB14" i="4"/>
  <c r="M34" i="2"/>
  <c r="N34" i="2"/>
  <c r="W34" i="2"/>
  <c r="L34" i="2"/>
  <c r="P6" i="2"/>
  <c r="Y6" i="2"/>
  <c r="Z6" i="2"/>
  <c r="L3" i="2"/>
  <c r="L14" i="2" s="1"/>
  <c r="M3" i="2"/>
  <c r="M14" i="2" s="1"/>
  <c r="N3" i="2"/>
  <c r="N14" i="2" s="1"/>
  <c r="O3" i="2"/>
  <c r="O34" i="2" s="1"/>
  <c r="P3" i="2"/>
  <c r="P34" i="2" s="1"/>
  <c r="Q3" i="2"/>
  <c r="Q34" i="2" s="1"/>
  <c r="R3" i="2"/>
  <c r="R34" i="2" s="1"/>
  <c r="S3" i="2"/>
  <c r="S34" i="2" s="1"/>
  <c r="T3" i="2"/>
  <c r="T34" i="2" s="1"/>
  <c r="U3" i="2"/>
  <c r="U14" i="2" s="1"/>
  <c r="V3" i="2"/>
  <c r="V14" i="2" s="1"/>
  <c r="W3" i="2"/>
  <c r="W14" i="2" s="1"/>
  <c r="X3" i="2"/>
  <c r="X14" i="2" s="1"/>
  <c r="Y3" i="2"/>
  <c r="Y34" i="2" s="1"/>
  <c r="Z3" i="2"/>
  <c r="Z34" i="2" s="1"/>
  <c r="AA3" i="2"/>
  <c r="AA14" i="2" s="1"/>
  <c r="AB3" i="2"/>
  <c r="AB34" i="2" s="1"/>
  <c r="L4" i="2"/>
  <c r="M4" i="2"/>
  <c r="M18" i="2" s="1"/>
  <c r="N4" i="2"/>
  <c r="N18" i="2" s="1"/>
  <c r="O4" i="2"/>
  <c r="O18" i="2" s="1"/>
  <c r="P4" i="2"/>
  <c r="P18" i="2" s="1"/>
  <c r="Q4" i="2"/>
  <c r="Q6" i="2" s="1"/>
  <c r="R4" i="2"/>
  <c r="R6" i="2" s="1"/>
  <c r="S4" i="2"/>
  <c r="S38" i="2" s="1"/>
  <c r="T4" i="2"/>
  <c r="T6" i="2" s="1"/>
  <c r="U4" i="2"/>
  <c r="U38" i="2" s="1"/>
  <c r="V4" i="2"/>
  <c r="V18" i="2" s="1"/>
  <c r="W4" i="2"/>
  <c r="W18" i="2" s="1"/>
  <c r="X4" i="2"/>
  <c r="X18" i="2" s="1"/>
  <c r="Y4" i="2"/>
  <c r="Y18" i="2" s="1"/>
  <c r="Z4" i="2"/>
  <c r="Z18" i="2" s="1"/>
  <c r="AA4" i="2"/>
  <c r="AA6" i="2" s="1"/>
  <c r="AB4" i="2"/>
  <c r="AB6" i="2" s="1"/>
  <c r="M2" i="2"/>
  <c r="N2" i="2"/>
  <c r="O2" i="2"/>
  <c r="P2" i="2"/>
  <c r="Q2" i="2"/>
  <c r="R2" i="2"/>
  <c r="L2" i="2"/>
  <c r="M6" i="4"/>
  <c r="S6" i="4"/>
  <c r="T6" i="4"/>
  <c r="U6" i="4"/>
  <c r="V6" i="4"/>
  <c r="W6" i="4"/>
  <c r="L6" i="4"/>
  <c r="L3" i="4"/>
  <c r="L14" i="4" s="1"/>
  <c r="M3" i="4"/>
  <c r="N3" i="4"/>
  <c r="O3" i="4"/>
  <c r="P3" i="4"/>
  <c r="Q3" i="4"/>
  <c r="R3" i="4"/>
  <c r="S3" i="4"/>
  <c r="T3" i="4"/>
  <c r="U3" i="4"/>
  <c r="V3" i="4"/>
  <c r="W3" i="4"/>
  <c r="X3" i="4"/>
  <c r="Y3" i="4"/>
  <c r="Z3" i="4"/>
  <c r="AA3" i="4"/>
  <c r="AB3" i="4"/>
  <c r="L4" i="4"/>
  <c r="M4" i="4"/>
  <c r="N4" i="4"/>
  <c r="N6" i="4" s="1"/>
  <c r="O4" i="4"/>
  <c r="O6" i="4" s="1"/>
  <c r="P4" i="4"/>
  <c r="P6" i="4" s="1"/>
  <c r="Q4" i="4"/>
  <c r="Q6" i="4" s="1"/>
  <c r="R4" i="4"/>
  <c r="R6" i="4" s="1"/>
  <c r="S4" i="4"/>
  <c r="T4" i="4"/>
  <c r="U4" i="4"/>
  <c r="V4" i="4"/>
  <c r="W4" i="4"/>
  <c r="X4" i="4"/>
  <c r="X6" i="4" s="1"/>
  <c r="Y4" i="4"/>
  <c r="Y6" i="4" s="1"/>
  <c r="Z4" i="4"/>
  <c r="Z6" i="4" s="1"/>
  <c r="AA4" i="4"/>
  <c r="AA6" i="4" s="1"/>
  <c r="AB4" i="4"/>
  <c r="AB6" i="4" s="1"/>
  <c r="M2" i="4"/>
  <c r="N2" i="4"/>
  <c r="O2" i="4"/>
  <c r="P2" i="4"/>
  <c r="Q2" i="4"/>
  <c r="R2" i="4"/>
  <c r="L2" i="4"/>
  <c r="G68" i="3"/>
  <c r="R67" i="3"/>
  <c r="S67" i="3"/>
  <c r="P73" i="3"/>
  <c r="Q73" i="3"/>
  <c r="R73" i="3"/>
  <c r="S73" i="3"/>
  <c r="T73" i="3"/>
  <c r="U73" i="3"/>
  <c r="V73" i="3"/>
  <c r="W73" i="3"/>
  <c r="X73" i="3"/>
  <c r="Y73" i="3"/>
  <c r="Z73" i="3"/>
  <c r="AA73" i="3"/>
  <c r="AB73" i="3"/>
  <c r="AB46" i="3"/>
  <c r="AB14" i="3"/>
  <c r="O18" i="3"/>
  <c r="P18" i="3"/>
  <c r="P30" i="3" s="1"/>
  <c r="P20" i="3"/>
  <c r="Q20" i="3"/>
  <c r="R20" i="3"/>
  <c r="S20" i="3"/>
  <c r="T20" i="3"/>
  <c r="U20" i="3"/>
  <c r="V20" i="3"/>
  <c r="W20" i="3"/>
  <c r="X20" i="3"/>
  <c r="Y20" i="3"/>
  <c r="Z20" i="3"/>
  <c r="AA20" i="3"/>
  <c r="AB20" i="3"/>
  <c r="L3" i="6"/>
  <c r="L12" i="6" s="1"/>
  <c r="M12" i="6" s="1"/>
  <c r="N12" i="6" s="1"/>
  <c r="O12" i="6" s="1"/>
  <c r="P12" i="6" s="1"/>
  <c r="Q12" i="6" s="1"/>
  <c r="R12" i="6" s="1"/>
  <c r="S12" i="6" s="1"/>
  <c r="T12" i="6" s="1"/>
  <c r="U12" i="6" s="1"/>
  <c r="V12" i="6" s="1"/>
  <c r="W12" i="6" s="1"/>
  <c r="X12" i="6" s="1"/>
  <c r="Y12" i="6" s="1"/>
  <c r="Z12" i="6" s="1"/>
  <c r="AA12" i="6" s="1"/>
  <c r="AB12" i="6" s="1"/>
  <c r="M3" i="6"/>
  <c r="N3" i="6"/>
  <c r="O3" i="6"/>
  <c r="P3" i="6"/>
  <c r="Q3" i="6"/>
  <c r="R3" i="6"/>
  <c r="S3" i="6"/>
  <c r="T3" i="6"/>
  <c r="U3" i="6"/>
  <c r="V3" i="6"/>
  <c r="W3" i="6"/>
  <c r="X3" i="6"/>
  <c r="Y3" i="6"/>
  <c r="Z3" i="6"/>
  <c r="AA3" i="6"/>
  <c r="AB3" i="6"/>
  <c r="L4" i="6"/>
  <c r="M4" i="6"/>
  <c r="N4" i="6"/>
  <c r="O4" i="6"/>
  <c r="P4" i="6"/>
  <c r="Q4" i="6"/>
  <c r="R4" i="6"/>
  <c r="S4" i="6"/>
  <c r="T4" i="6"/>
  <c r="U4" i="6"/>
  <c r="V4" i="6"/>
  <c r="W4" i="6"/>
  <c r="X4" i="6"/>
  <c r="Y4" i="6"/>
  <c r="Z4" i="6"/>
  <c r="AA4" i="6"/>
  <c r="AB4" i="6"/>
  <c r="M2" i="6"/>
  <c r="N2" i="6"/>
  <c r="O2" i="6"/>
  <c r="P2" i="6"/>
  <c r="Q2" i="6"/>
  <c r="R2" i="6"/>
  <c r="L2" i="6"/>
  <c r="L14" i="6" s="1"/>
  <c r="M15" i="13"/>
  <c r="N15" i="13"/>
  <c r="O15" i="13"/>
  <c r="P15" i="13"/>
  <c r="Q15" i="13"/>
  <c r="R15" i="13"/>
  <c r="S15" i="13"/>
  <c r="T15" i="13"/>
  <c r="U15" i="13"/>
  <c r="V15" i="13"/>
  <c r="W15" i="13"/>
  <c r="X15" i="13"/>
  <c r="Y15" i="13"/>
  <c r="Z15" i="13"/>
  <c r="AA15" i="13"/>
  <c r="AB15" i="13"/>
  <c r="L15" i="13"/>
  <c r="O6" i="3"/>
  <c r="L4" i="3"/>
  <c r="M4" i="3"/>
  <c r="N4" i="3"/>
  <c r="N18" i="3" s="1"/>
  <c r="O4" i="3"/>
  <c r="P4" i="3"/>
  <c r="P6" i="3" s="1"/>
  <c r="Q4" i="3"/>
  <c r="Q18" i="3" s="1"/>
  <c r="Q30" i="3" s="1"/>
  <c r="R4" i="3"/>
  <c r="R18" i="3" s="1"/>
  <c r="R30" i="3" s="1"/>
  <c r="S4" i="3"/>
  <c r="S6" i="3" s="1"/>
  <c r="T4" i="3"/>
  <c r="T6" i="3" s="1"/>
  <c r="U4" i="3"/>
  <c r="V4" i="3"/>
  <c r="W4" i="3"/>
  <c r="X4" i="3"/>
  <c r="X18" i="3" s="1"/>
  <c r="X30" i="3" s="1"/>
  <c r="Y4" i="3"/>
  <c r="Y6" i="3" s="1"/>
  <c r="Z4" i="3"/>
  <c r="Z18" i="3" s="1"/>
  <c r="Z30" i="3" s="1"/>
  <c r="AA4" i="3"/>
  <c r="AA6" i="3" s="1"/>
  <c r="AB4" i="3"/>
  <c r="AB18" i="3" s="1"/>
  <c r="AB30" i="3" s="1"/>
  <c r="L3" i="3"/>
  <c r="E14" i="3" s="1"/>
  <c r="M3" i="3"/>
  <c r="N3" i="3"/>
  <c r="O3" i="3"/>
  <c r="O67" i="3" s="1"/>
  <c r="P3" i="3"/>
  <c r="P14" i="3" s="1"/>
  <c r="Q3" i="3"/>
  <c r="Q14" i="3" s="1"/>
  <c r="R3" i="3"/>
  <c r="R46" i="3" s="1"/>
  <c r="S3" i="3"/>
  <c r="S46" i="3" s="1"/>
  <c r="T3" i="3"/>
  <c r="T67" i="3" s="1"/>
  <c r="U3" i="3"/>
  <c r="U14" i="3" s="1"/>
  <c r="V3" i="3"/>
  <c r="V46" i="3" s="1"/>
  <c r="W3" i="3"/>
  <c r="X3" i="3"/>
  <c r="Y3" i="3"/>
  <c r="Y46" i="3" s="1"/>
  <c r="Z3" i="3"/>
  <c r="Z14" i="3" s="1"/>
  <c r="AA3" i="3"/>
  <c r="AA40" i="3" s="1"/>
  <c r="AB3" i="3"/>
  <c r="AB67" i="3" s="1"/>
  <c r="M2" i="3"/>
  <c r="N2" i="3"/>
  <c r="O2" i="3"/>
  <c r="P2" i="3"/>
  <c r="Q2" i="3"/>
  <c r="R2" i="3"/>
  <c r="L2" i="3"/>
  <c r="Q18" i="13"/>
  <c r="U18" i="13"/>
  <c r="V18" i="13"/>
  <c r="W18" i="13"/>
  <c r="L18" i="13"/>
  <c r="M14" i="13"/>
  <c r="M11" i="13" s="1"/>
  <c r="N14" i="13"/>
  <c r="N11" i="13" s="1"/>
  <c r="S14" i="13"/>
  <c r="T14" i="13"/>
  <c r="U14" i="13"/>
  <c r="V14" i="13"/>
  <c r="W14" i="13"/>
  <c r="T12" i="13"/>
  <c r="U12" i="13" s="1"/>
  <c r="V12" i="13" s="1"/>
  <c r="W12" i="13" s="1"/>
  <c r="X12" i="13" s="1"/>
  <c r="Y12" i="13" s="1"/>
  <c r="Z12" i="13" s="1"/>
  <c r="AA12" i="13" s="1"/>
  <c r="AB12" i="13" s="1"/>
  <c r="T13" i="13"/>
  <c r="U13" i="13"/>
  <c r="V13" i="13" s="1"/>
  <c r="W13" i="13" s="1"/>
  <c r="X13" i="13" s="1"/>
  <c r="Y13" i="13" s="1"/>
  <c r="Z13" i="13" s="1"/>
  <c r="AA13" i="13" s="1"/>
  <c r="AB13" i="13" s="1"/>
  <c r="R13" i="13"/>
  <c r="S13" i="13"/>
  <c r="S12" i="13"/>
  <c r="L3" i="13"/>
  <c r="L14" i="13" s="1"/>
  <c r="L11" i="13" s="1"/>
  <c r="M3" i="13"/>
  <c r="N3" i="13"/>
  <c r="O3" i="13"/>
  <c r="O14" i="13" s="1"/>
  <c r="O11" i="13" s="1"/>
  <c r="P3" i="13"/>
  <c r="P14" i="13" s="1"/>
  <c r="Q3" i="13"/>
  <c r="Q14" i="13" s="1"/>
  <c r="R3" i="13"/>
  <c r="R14" i="13" s="1"/>
  <c r="S3" i="13"/>
  <c r="T3" i="13"/>
  <c r="U3" i="13"/>
  <c r="V3" i="13"/>
  <c r="W3" i="13"/>
  <c r="X3" i="13"/>
  <c r="X14" i="13" s="1"/>
  <c r="Y3" i="13"/>
  <c r="Y14" i="13" s="1"/>
  <c r="Z3" i="13"/>
  <c r="Z14" i="13" s="1"/>
  <c r="AA3" i="13"/>
  <c r="AA14" i="13" s="1"/>
  <c r="AB3" i="13"/>
  <c r="AB14" i="13" s="1"/>
  <c r="L4" i="13"/>
  <c r="M4" i="13"/>
  <c r="M18" i="13" s="1"/>
  <c r="N4" i="13"/>
  <c r="N18" i="13" s="1"/>
  <c r="O4" i="13"/>
  <c r="O18" i="13" s="1"/>
  <c r="P4" i="13"/>
  <c r="P18" i="13" s="1"/>
  <c r="Q4" i="13"/>
  <c r="R4" i="13"/>
  <c r="S4" i="13"/>
  <c r="S18" i="13" s="1"/>
  <c r="T4" i="13"/>
  <c r="U4" i="13"/>
  <c r="V4" i="13"/>
  <c r="W4" i="13"/>
  <c r="X4" i="13"/>
  <c r="X18" i="13" s="1"/>
  <c r="Y4" i="13"/>
  <c r="Y18" i="13" s="1"/>
  <c r="Z4" i="13"/>
  <c r="Z18" i="13" s="1"/>
  <c r="AA4" i="13"/>
  <c r="AA18" i="13" s="1"/>
  <c r="AB4" i="13"/>
  <c r="M2" i="13"/>
  <c r="N2" i="13"/>
  <c r="O2" i="13"/>
  <c r="P2" i="13"/>
  <c r="Q2" i="13"/>
  <c r="R2" i="13"/>
  <c r="L2" i="13"/>
  <c r="G13" i="13"/>
  <c r="N12" i="13"/>
  <c r="O12" i="13"/>
  <c r="L12" i="13"/>
  <c r="G12" i="13"/>
  <c r="G11" i="13"/>
  <c r="G10" i="13"/>
  <c r="D42" i="13"/>
  <c r="D43" i="13"/>
  <c r="D44" i="13"/>
  <c r="D45" i="13"/>
  <c r="D46" i="13"/>
  <c r="D47" i="13"/>
  <c r="D48" i="13"/>
  <c r="D49" i="13"/>
  <c r="D50" i="13"/>
  <c r="D51" i="13"/>
  <c r="D52" i="13"/>
  <c r="D53" i="13"/>
  <c r="D54" i="13"/>
  <c r="D55" i="13"/>
  <c r="D56" i="13"/>
  <c r="D57" i="13"/>
  <c r="D58" i="13"/>
  <c r="D59" i="13"/>
  <c r="D60" i="13"/>
  <c r="D61" i="13"/>
  <c r="D62" i="13"/>
  <c r="D63" i="13"/>
  <c r="D64" i="13"/>
  <c r="D65" i="13"/>
  <c r="D41" i="13"/>
  <c r="J41" i="13"/>
  <c r="K41" i="13"/>
  <c r="L41" i="13"/>
  <c r="M41" i="13"/>
  <c r="N41" i="13"/>
  <c r="O41" i="13"/>
  <c r="P41" i="13"/>
  <c r="Q41" i="13"/>
  <c r="R41" i="13"/>
  <c r="S41" i="13"/>
  <c r="T41" i="13"/>
  <c r="U41" i="13"/>
  <c r="V41" i="13"/>
  <c r="J42" i="13"/>
  <c r="K42" i="13"/>
  <c r="L42" i="13"/>
  <c r="M42" i="13"/>
  <c r="N42" i="13"/>
  <c r="O42" i="13"/>
  <c r="P42" i="13"/>
  <c r="Q42" i="13"/>
  <c r="R42" i="13"/>
  <c r="S42" i="13"/>
  <c r="T42" i="13"/>
  <c r="U42" i="13"/>
  <c r="V42" i="13"/>
  <c r="J43" i="13"/>
  <c r="K43" i="13"/>
  <c r="L43" i="13"/>
  <c r="M43" i="13"/>
  <c r="N43" i="13"/>
  <c r="O43" i="13"/>
  <c r="P43" i="13"/>
  <c r="Q43" i="13"/>
  <c r="R43" i="13"/>
  <c r="S43" i="13"/>
  <c r="T43" i="13"/>
  <c r="U43" i="13"/>
  <c r="V43" i="13"/>
  <c r="J44" i="13"/>
  <c r="K44" i="13"/>
  <c r="L44" i="13"/>
  <c r="M44" i="13"/>
  <c r="N44" i="13"/>
  <c r="O44" i="13"/>
  <c r="P44" i="13"/>
  <c r="Q44" i="13"/>
  <c r="R44" i="13"/>
  <c r="S44" i="13"/>
  <c r="T44" i="13"/>
  <c r="U44" i="13"/>
  <c r="V44" i="13"/>
  <c r="J45" i="13"/>
  <c r="K45" i="13"/>
  <c r="L45" i="13"/>
  <c r="M45" i="13"/>
  <c r="N45" i="13"/>
  <c r="O45" i="13"/>
  <c r="P45" i="13"/>
  <c r="Q45" i="13"/>
  <c r="R45" i="13"/>
  <c r="S45" i="13"/>
  <c r="T45" i="13"/>
  <c r="U45" i="13"/>
  <c r="V45" i="13"/>
  <c r="J46" i="13"/>
  <c r="K46" i="13"/>
  <c r="L46" i="13"/>
  <c r="M46" i="13"/>
  <c r="N46" i="13"/>
  <c r="O46" i="13"/>
  <c r="P46" i="13"/>
  <c r="Q46" i="13"/>
  <c r="R46" i="13"/>
  <c r="S46" i="13"/>
  <c r="T46" i="13"/>
  <c r="U46" i="13"/>
  <c r="V46" i="13"/>
  <c r="J47" i="13"/>
  <c r="K47" i="13"/>
  <c r="L47" i="13"/>
  <c r="M47" i="13"/>
  <c r="N47" i="13"/>
  <c r="O47" i="13"/>
  <c r="P47" i="13"/>
  <c r="Q47" i="13"/>
  <c r="R47" i="13"/>
  <c r="S47" i="13"/>
  <c r="T47" i="13"/>
  <c r="U47" i="13"/>
  <c r="V47" i="13"/>
  <c r="J48" i="13"/>
  <c r="K48" i="13"/>
  <c r="L48" i="13"/>
  <c r="M48" i="13"/>
  <c r="N48" i="13"/>
  <c r="O48" i="13"/>
  <c r="P48" i="13"/>
  <c r="Q48" i="13"/>
  <c r="R48" i="13"/>
  <c r="S48" i="13"/>
  <c r="T48" i="13"/>
  <c r="U48" i="13"/>
  <c r="V48" i="13"/>
  <c r="J49" i="13"/>
  <c r="K49" i="13"/>
  <c r="L49" i="13"/>
  <c r="M49" i="13"/>
  <c r="N49" i="13"/>
  <c r="O49" i="13"/>
  <c r="P49" i="13"/>
  <c r="Q49" i="13"/>
  <c r="R49" i="13"/>
  <c r="S49" i="13"/>
  <c r="T49" i="13"/>
  <c r="U49" i="13"/>
  <c r="V49" i="13"/>
  <c r="J50" i="13"/>
  <c r="K50" i="13"/>
  <c r="L50" i="13"/>
  <c r="M50" i="13"/>
  <c r="N50" i="13"/>
  <c r="O50" i="13"/>
  <c r="P50" i="13"/>
  <c r="Q50" i="13"/>
  <c r="R50" i="13"/>
  <c r="S50" i="13"/>
  <c r="T50" i="13"/>
  <c r="U50" i="13"/>
  <c r="V50" i="13"/>
  <c r="J51" i="13"/>
  <c r="K51" i="13"/>
  <c r="L51" i="13"/>
  <c r="M51" i="13"/>
  <c r="N51" i="13"/>
  <c r="O51" i="13"/>
  <c r="P51" i="13"/>
  <c r="Q51" i="13"/>
  <c r="R51" i="13"/>
  <c r="S51" i="13"/>
  <c r="T51" i="13"/>
  <c r="U51" i="13"/>
  <c r="V51" i="13"/>
  <c r="J52" i="13"/>
  <c r="K52" i="13"/>
  <c r="L52" i="13"/>
  <c r="M52" i="13"/>
  <c r="N52" i="13"/>
  <c r="O52" i="13"/>
  <c r="P52" i="13"/>
  <c r="Q52" i="13"/>
  <c r="R52" i="13"/>
  <c r="S52" i="13"/>
  <c r="T52" i="13"/>
  <c r="U52" i="13"/>
  <c r="V52" i="13"/>
  <c r="J53" i="13"/>
  <c r="K53" i="13"/>
  <c r="L53" i="13"/>
  <c r="M53" i="13"/>
  <c r="N53" i="13"/>
  <c r="O53" i="13"/>
  <c r="P53" i="13"/>
  <c r="Q53" i="13"/>
  <c r="R53" i="13"/>
  <c r="S53" i="13"/>
  <c r="T53" i="13"/>
  <c r="U53" i="13"/>
  <c r="V53" i="13"/>
  <c r="J54" i="13"/>
  <c r="K54" i="13"/>
  <c r="L54" i="13"/>
  <c r="M54" i="13"/>
  <c r="N54" i="13"/>
  <c r="O54" i="13"/>
  <c r="P54" i="13"/>
  <c r="Q54" i="13"/>
  <c r="R54" i="13"/>
  <c r="S54" i="13"/>
  <c r="T54" i="13"/>
  <c r="U54" i="13"/>
  <c r="V54" i="13"/>
  <c r="J55" i="13"/>
  <c r="K55" i="13"/>
  <c r="L55" i="13"/>
  <c r="M55" i="13"/>
  <c r="N55" i="13"/>
  <c r="O55" i="13"/>
  <c r="P55" i="13"/>
  <c r="Q55" i="13"/>
  <c r="R55" i="13"/>
  <c r="S55" i="13"/>
  <c r="T55" i="13"/>
  <c r="U55" i="13"/>
  <c r="V55" i="13"/>
  <c r="J56" i="13"/>
  <c r="K56" i="13"/>
  <c r="L56" i="13"/>
  <c r="M56" i="13"/>
  <c r="N56" i="13"/>
  <c r="O56" i="13"/>
  <c r="P56" i="13"/>
  <c r="Q56" i="13"/>
  <c r="R56" i="13"/>
  <c r="S56" i="13"/>
  <c r="T56" i="13"/>
  <c r="U56" i="13"/>
  <c r="V56" i="13"/>
  <c r="J57" i="13"/>
  <c r="K57" i="13"/>
  <c r="L57" i="13"/>
  <c r="M57" i="13"/>
  <c r="N57" i="13"/>
  <c r="O57" i="13"/>
  <c r="P57" i="13"/>
  <c r="Q57" i="13"/>
  <c r="R57" i="13"/>
  <c r="S57" i="13"/>
  <c r="T57" i="13"/>
  <c r="U57" i="13"/>
  <c r="V57" i="13"/>
  <c r="J58" i="13"/>
  <c r="K58" i="13"/>
  <c r="L58" i="13"/>
  <c r="M58" i="13"/>
  <c r="N58" i="13"/>
  <c r="O58" i="13"/>
  <c r="P58" i="13"/>
  <c r="Q58" i="13"/>
  <c r="R58" i="13"/>
  <c r="S58" i="13"/>
  <c r="T58" i="13"/>
  <c r="U58" i="13"/>
  <c r="V58" i="13"/>
  <c r="J59" i="13"/>
  <c r="K59" i="13"/>
  <c r="L59" i="13"/>
  <c r="M59" i="13"/>
  <c r="N59" i="13"/>
  <c r="O59" i="13"/>
  <c r="P59" i="13"/>
  <c r="Q59" i="13"/>
  <c r="R59" i="13"/>
  <c r="S59" i="13"/>
  <c r="T59" i="13"/>
  <c r="U59" i="13"/>
  <c r="V59" i="13"/>
  <c r="J60" i="13"/>
  <c r="K60" i="13"/>
  <c r="L60" i="13"/>
  <c r="M60" i="13"/>
  <c r="N60" i="13"/>
  <c r="O60" i="13"/>
  <c r="P60" i="13"/>
  <c r="Q60" i="13"/>
  <c r="R60" i="13"/>
  <c r="S60" i="13"/>
  <c r="T60" i="13"/>
  <c r="U60" i="13"/>
  <c r="V60" i="13"/>
  <c r="J61" i="13"/>
  <c r="K61" i="13"/>
  <c r="L61" i="13"/>
  <c r="M61" i="13"/>
  <c r="N61" i="13"/>
  <c r="O61" i="13"/>
  <c r="P61" i="13"/>
  <c r="Q61" i="13"/>
  <c r="R61" i="13"/>
  <c r="S61" i="13"/>
  <c r="T61" i="13"/>
  <c r="U61" i="13"/>
  <c r="V61" i="13"/>
  <c r="J62" i="13"/>
  <c r="K62" i="13"/>
  <c r="L62" i="13"/>
  <c r="M62" i="13"/>
  <c r="N62" i="13"/>
  <c r="O62" i="13"/>
  <c r="P62" i="13"/>
  <c r="Q62" i="13"/>
  <c r="R62" i="13"/>
  <c r="S62" i="13"/>
  <c r="T62" i="13"/>
  <c r="U62" i="13"/>
  <c r="V62" i="13"/>
  <c r="J63" i="13"/>
  <c r="K63" i="13"/>
  <c r="L63" i="13"/>
  <c r="M63" i="13"/>
  <c r="N63" i="13"/>
  <c r="O63" i="13"/>
  <c r="P63" i="13"/>
  <c r="Q63" i="13"/>
  <c r="R63" i="13"/>
  <c r="S63" i="13"/>
  <c r="T63" i="13"/>
  <c r="U63" i="13"/>
  <c r="V63" i="13"/>
  <c r="J64" i="13"/>
  <c r="K64" i="13"/>
  <c r="L64" i="13"/>
  <c r="M64" i="13"/>
  <c r="N64" i="13"/>
  <c r="O64" i="13"/>
  <c r="P64" i="13"/>
  <c r="Q64" i="13"/>
  <c r="R64" i="13"/>
  <c r="S64" i="13"/>
  <c r="T64" i="13"/>
  <c r="U64" i="13"/>
  <c r="V64" i="13"/>
  <c r="J65" i="13"/>
  <c r="K65" i="13"/>
  <c r="L65" i="13"/>
  <c r="M65" i="13"/>
  <c r="N65" i="13"/>
  <c r="O65" i="13"/>
  <c r="P65" i="13"/>
  <c r="Q65" i="13"/>
  <c r="R65" i="13"/>
  <c r="S65" i="13"/>
  <c r="T65" i="13"/>
  <c r="U65" i="13"/>
  <c r="V65" i="13"/>
  <c r="Q38" i="13"/>
  <c r="R38" i="13"/>
  <c r="S38" i="13" s="1"/>
  <c r="T38" i="13" s="1"/>
  <c r="U38" i="13" s="1"/>
  <c r="P38" i="13"/>
  <c r="G38" i="13"/>
  <c r="H38" i="13" s="1"/>
  <c r="I38" i="13" s="1"/>
  <c r="F38" i="13"/>
  <c r="L38" i="13"/>
  <c r="M38" i="13" s="1"/>
  <c r="N38" i="13" s="1"/>
  <c r="K38" i="13"/>
  <c r="J38" i="13"/>
  <c r="L5" i="5"/>
  <c r="M5" i="5" s="1"/>
  <c r="K5" i="5"/>
  <c r="I5" i="5"/>
  <c r="G5" i="5"/>
  <c r="D30" i="16" l="1"/>
  <c r="D9" i="16"/>
  <c r="D165" i="16"/>
  <c r="D144" i="16"/>
  <c r="D136" i="16"/>
  <c r="E129" i="16"/>
  <c r="E121" i="16"/>
  <c r="D115" i="16"/>
  <c r="E108" i="16"/>
  <c r="E100" i="16"/>
  <c r="D94" i="16"/>
  <c r="D86" i="16"/>
  <c r="E79" i="16"/>
  <c r="E71" i="16"/>
  <c r="D65" i="16"/>
  <c r="E58" i="16"/>
  <c r="E50" i="16"/>
  <c r="D44" i="16"/>
  <c r="D36" i="16"/>
  <c r="E29" i="16"/>
  <c r="J15" i="16" s="1"/>
  <c r="E21" i="16"/>
  <c r="D15" i="16"/>
  <c r="E8" i="16"/>
  <c r="D221" i="16"/>
  <c r="D200" i="16"/>
  <c r="D179" i="16"/>
  <c r="D171" i="16"/>
  <c r="E156" i="16"/>
  <c r="D150" i="16"/>
  <c r="E143" i="16"/>
  <c r="E135" i="16"/>
  <c r="D129" i="16"/>
  <c r="D121" i="16"/>
  <c r="E114" i="16"/>
  <c r="E106" i="16"/>
  <c r="D100" i="16"/>
  <c r="E93" i="16"/>
  <c r="E85" i="16"/>
  <c r="D79" i="16"/>
  <c r="D71" i="16"/>
  <c r="E64" i="16"/>
  <c r="E56" i="16"/>
  <c r="D50" i="16"/>
  <c r="E43" i="16"/>
  <c r="E35" i="16"/>
  <c r="D29" i="16"/>
  <c r="D21" i="16"/>
  <c r="E14" i="16"/>
  <c r="E6" i="16"/>
  <c r="J13" i="16" s="1"/>
  <c r="E220" i="16"/>
  <c r="D214" i="16"/>
  <c r="D206" i="16"/>
  <c r="E199" i="16"/>
  <c r="E191" i="16"/>
  <c r="D185" i="16"/>
  <c r="E178" i="16"/>
  <c r="E170" i="16"/>
  <c r="D164" i="16"/>
  <c r="D156" i="16"/>
  <c r="E149" i="16"/>
  <c r="E141" i="16"/>
  <c r="D135" i="16"/>
  <c r="E128" i="16"/>
  <c r="E120" i="16"/>
  <c r="D114" i="16"/>
  <c r="D106" i="16"/>
  <c r="E99" i="16"/>
  <c r="E91" i="16"/>
  <c r="D85" i="16"/>
  <c r="E78" i="16"/>
  <c r="E70" i="16"/>
  <c r="D64" i="16"/>
  <c r="D56" i="16"/>
  <c r="E49" i="16"/>
  <c r="E41" i="16"/>
  <c r="D35" i="16"/>
  <c r="E28" i="16"/>
  <c r="J12" i="16" s="1"/>
  <c r="E20" i="16"/>
  <c r="D14" i="16"/>
  <c r="D6" i="16"/>
  <c r="I13" i="16" s="1"/>
  <c r="D4" i="16"/>
  <c r="D220" i="16"/>
  <c r="E213" i="16"/>
  <c r="E205" i="16"/>
  <c r="D199" i="16"/>
  <c r="D191" i="16"/>
  <c r="E184" i="16"/>
  <c r="E176" i="16"/>
  <c r="D170" i="16"/>
  <c r="E163" i="16"/>
  <c r="E155" i="16"/>
  <c r="D149" i="16"/>
  <c r="D141" i="16"/>
  <c r="E134" i="16"/>
  <c r="E126" i="16"/>
  <c r="D120" i="16"/>
  <c r="E113" i="16"/>
  <c r="E105" i="16"/>
  <c r="D99" i="16"/>
  <c r="D91" i="16"/>
  <c r="E84" i="16"/>
  <c r="E76" i="16"/>
  <c r="D70" i="16"/>
  <c r="E63" i="16"/>
  <c r="E55" i="16"/>
  <c r="D49" i="16"/>
  <c r="D41" i="16"/>
  <c r="E34" i="16"/>
  <c r="E26" i="16"/>
  <c r="D20" i="16"/>
  <c r="E13" i="16"/>
  <c r="E5" i="16"/>
  <c r="E4" i="16"/>
  <c r="E219" i="16"/>
  <c r="E211" i="16"/>
  <c r="D205" i="16"/>
  <c r="E198" i="16"/>
  <c r="E190" i="16"/>
  <c r="D184" i="16"/>
  <c r="D176" i="16"/>
  <c r="E169" i="16"/>
  <c r="E161" i="16"/>
  <c r="D155" i="16"/>
  <c r="E148" i="16"/>
  <c r="E140" i="16"/>
  <c r="D134" i="16"/>
  <c r="D126" i="16"/>
  <c r="E119" i="16"/>
  <c r="E111" i="16"/>
  <c r="D105" i="16"/>
  <c r="E98" i="16"/>
  <c r="E90" i="16"/>
  <c r="D84" i="16"/>
  <c r="D76" i="16"/>
  <c r="E69" i="16"/>
  <c r="E61" i="16"/>
  <c r="D55" i="16"/>
  <c r="E48" i="16"/>
  <c r="E40" i="16"/>
  <c r="D34" i="16"/>
  <c r="I16" i="16" s="1"/>
  <c r="D26" i="16"/>
  <c r="E19" i="16"/>
  <c r="E11" i="16"/>
  <c r="D5" i="16"/>
  <c r="D223" i="16"/>
  <c r="D218" i="16"/>
  <c r="D213" i="16"/>
  <c r="D208" i="16"/>
  <c r="D203" i="16"/>
  <c r="D198" i="16"/>
  <c r="D193" i="16"/>
  <c r="D188" i="16"/>
  <c r="D183" i="16"/>
  <c r="D178" i="16"/>
  <c r="D173" i="16"/>
  <c r="D168" i="16"/>
  <c r="D163" i="16"/>
  <c r="D158" i="16"/>
  <c r="D153" i="16"/>
  <c r="D148" i="16"/>
  <c r="D143" i="16"/>
  <c r="D138" i="16"/>
  <c r="D133" i="16"/>
  <c r="D128" i="16"/>
  <c r="D123" i="16"/>
  <c r="D118" i="16"/>
  <c r="D113" i="16"/>
  <c r="D108" i="16"/>
  <c r="D103" i="16"/>
  <c r="D98" i="16"/>
  <c r="D93" i="16"/>
  <c r="D88" i="16"/>
  <c r="D83" i="16"/>
  <c r="D78" i="16"/>
  <c r="D73" i="16"/>
  <c r="D68" i="16"/>
  <c r="D63" i="16"/>
  <c r="D58" i="16"/>
  <c r="D53" i="16"/>
  <c r="D48" i="16"/>
  <c r="D43" i="16"/>
  <c r="D38" i="16"/>
  <c r="I14" i="16" s="1"/>
  <c r="D33" i="16"/>
  <c r="D28" i="16"/>
  <c r="D23" i="16"/>
  <c r="D18" i="16"/>
  <c r="D13" i="16"/>
  <c r="D8" i="16"/>
  <c r="E222" i="16"/>
  <c r="E217" i="16"/>
  <c r="E212" i="16"/>
  <c r="E207" i="16"/>
  <c r="E202" i="16"/>
  <c r="E197" i="16"/>
  <c r="E192" i="16"/>
  <c r="E187" i="16"/>
  <c r="E182" i="16"/>
  <c r="E177" i="16"/>
  <c r="E172" i="16"/>
  <c r="E167" i="16"/>
  <c r="E162" i="16"/>
  <c r="E157" i="16"/>
  <c r="E152" i="16"/>
  <c r="E147" i="16"/>
  <c r="E142" i="16"/>
  <c r="E137" i="16"/>
  <c r="E132" i="16"/>
  <c r="E127" i="16"/>
  <c r="E122" i="16"/>
  <c r="E117" i="16"/>
  <c r="E112" i="16"/>
  <c r="E107" i="16"/>
  <c r="J17" i="16" s="1"/>
  <c r="E102" i="16"/>
  <c r="E97" i="16"/>
  <c r="E92" i="16"/>
  <c r="E87" i="16"/>
  <c r="E82" i="16"/>
  <c r="E77" i="16"/>
  <c r="E72" i="16"/>
  <c r="E67" i="16"/>
  <c r="E62" i="16"/>
  <c r="E57" i="16"/>
  <c r="E52" i="16"/>
  <c r="E47" i="16"/>
  <c r="E42" i="16"/>
  <c r="J14" i="16" s="1"/>
  <c r="E37" i="16"/>
  <c r="E32" i="16"/>
  <c r="E27" i="16"/>
  <c r="E22" i="16"/>
  <c r="E17" i="16"/>
  <c r="E12" i="16"/>
  <c r="J11" i="16" s="1"/>
  <c r="D222" i="16"/>
  <c r="D217" i="16"/>
  <c r="D212" i="16"/>
  <c r="D207" i="16"/>
  <c r="D202" i="16"/>
  <c r="D197" i="16"/>
  <c r="D192" i="16"/>
  <c r="D187" i="16"/>
  <c r="D182" i="16"/>
  <c r="D177" i="16"/>
  <c r="D172" i="16"/>
  <c r="D167" i="16"/>
  <c r="D162" i="16"/>
  <c r="D157" i="16"/>
  <c r="D152" i="16"/>
  <c r="D147" i="16"/>
  <c r="D142" i="16"/>
  <c r="D137" i="16"/>
  <c r="D132" i="16"/>
  <c r="D127" i="16"/>
  <c r="D122" i="16"/>
  <c r="D117" i="16"/>
  <c r="D112" i="16"/>
  <c r="D107" i="16"/>
  <c r="D102" i="16"/>
  <c r="D97" i="16"/>
  <c r="D92" i="16"/>
  <c r="D87" i="16"/>
  <c r="D82" i="16"/>
  <c r="D77" i="16"/>
  <c r="D72" i="16"/>
  <c r="D67" i="16"/>
  <c r="D62" i="16"/>
  <c r="D57" i="16"/>
  <c r="D52" i="16"/>
  <c r="D47" i="16"/>
  <c r="D42" i="16"/>
  <c r="D37" i="16"/>
  <c r="D32" i="16"/>
  <c r="D27" i="16"/>
  <c r="D22" i="16"/>
  <c r="D17" i="16"/>
  <c r="D12" i="16"/>
  <c r="I11" i="16" s="1"/>
  <c r="Q6" i="3"/>
  <c r="R6" i="3"/>
  <c r="R40" i="3"/>
  <c r="Y18" i="3"/>
  <c r="Y30" i="3" s="1"/>
  <c r="T40" i="3"/>
  <c r="AA18" i="3"/>
  <c r="AA30" i="3" s="1"/>
  <c r="U67" i="3"/>
  <c r="AA67" i="3"/>
  <c r="Q46" i="3"/>
  <c r="S40" i="3"/>
  <c r="O14" i="3"/>
  <c r="L6" i="3"/>
  <c r="AB6" i="3"/>
  <c r="L18" i="3"/>
  <c r="AA46" i="3"/>
  <c r="Q67" i="3"/>
  <c r="Q40" i="3"/>
  <c r="AA14" i="3"/>
  <c r="Z6" i="3"/>
  <c r="N6" i="3"/>
  <c r="Y14" i="3"/>
  <c r="U46" i="3"/>
  <c r="T14" i="3"/>
  <c r="T46" i="3"/>
  <c r="AB40" i="3"/>
  <c r="X6" i="3"/>
  <c r="S14" i="3"/>
  <c r="V6" i="3"/>
  <c r="V18" i="3"/>
  <c r="V30" i="3" s="1"/>
  <c r="R14" i="3"/>
  <c r="U40" i="3"/>
  <c r="T14" i="2"/>
  <c r="S14" i="2"/>
  <c r="W6" i="2"/>
  <c r="V6" i="2"/>
  <c r="X34" i="2"/>
  <c r="AA38" i="2"/>
  <c r="M38" i="2"/>
  <c r="O6" i="2"/>
  <c r="V34" i="2"/>
  <c r="Y38" i="2"/>
  <c r="N6" i="2"/>
  <c r="U34" i="2"/>
  <c r="X38" i="2"/>
  <c r="M6" i="2"/>
  <c r="W38" i="2"/>
  <c r="X6" i="2"/>
  <c r="T38" i="2"/>
  <c r="AB18" i="2"/>
  <c r="R18" i="2"/>
  <c r="AB14" i="2"/>
  <c r="R14" i="2"/>
  <c r="AA18" i="2"/>
  <c r="Q18" i="2"/>
  <c r="N38" i="2"/>
  <c r="U18" i="2"/>
  <c r="T18" i="2"/>
  <c r="V38" i="2"/>
  <c r="S18" i="2"/>
  <c r="U6" i="2"/>
  <c r="Q14" i="2"/>
  <c r="Z14" i="2"/>
  <c r="P14" i="2"/>
  <c r="L6" i="2"/>
  <c r="S6" i="2"/>
  <c r="Y14" i="2"/>
  <c r="O14" i="2"/>
  <c r="AA34" i="2"/>
  <c r="L15" i="6"/>
  <c r="M14" i="6"/>
  <c r="R2" i="7"/>
  <c r="R2" i="19"/>
  <c r="H17" i="20"/>
  <c r="J17" i="20" s="1"/>
  <c r="L17" i="20" s="1"/>
  <c r="I17" i="20"/>
  <c r="K17" i="20" s="1"/>
  <c r="M17" i="20" s="1"/>
  <c r="F19" i="20"/>
  <c r="G18" i="20"/>
  <c r="T29" i="7"/>
  <c r="T41" i="7"/>
  <c r="T48" i="7"/>
  <c r="T60" i="7"/>
  <c r="T47" i="7"/>
  <c r="T36" i="7"/>
  <c r="T43" i="7"/>
  <c r="T55" i="7"/>
  <c r="T67" i="7"/>
  <c r="T31" i="7"/>
  <c r="T38" i="7"/>
  <c r="T50" i="7"/>
  <c r="T62" i="7"/>
  <c r="T33" i="7"/>
  <c r="T45" i="7"/>
  <c r="T57" i="7"/>
  <c r="T64" i="7"/>
  <c r="T28" i="7"/>
  <c r="T40" i="7"/>
  <c r="T52" i="7"/>
  <c r="T59" i="7"/>
  <c r="T35" i="7"/>
  <c r="T54" i="7"/>
  <c r="T30" i="7"/>
  <c r="T42" i="7"/>
  <c r="T37" i="7"/>
  <c r="T44" i="7"/>
  <c r="T34" i="7"/>
  <c r="T46" i="7"/>
  <c r="T53" i="7"/>
  <c r="T65" i="7"/>
  <c r="T63" i="7"/>
  <c r="T49" i="7"/>
  <c r="T58" i="7"/>
  <c r="T51" i="7"/>
  <c r="T32" i="7"/>
  <c r="T61" i="7"/>
  <c r="T39" i="7"/>
  <c r="T56" i="7"/>
  <c r="T66" i="7"/>
  <c r="V16" i="7"/>
  <c r="U19" i="7"/>
  <c r="U15" i="7"/>
  <c r="V8" i="7"/>
  <c r="L14" i="8"/>
  <c r="P72" i="15"/>
  <c r="O72" i="15"/>
  <c r="E72" i="15"/>
  <c r="T73" i="15"/>
  <c r="AA36" i="15"/>
  <c r="R73" i="15"/>
  <c r="N28" i="15"/>
  <c r="R27" i="15"/>
  <c r="H27" i="15"/>
  <c r="N35" i="15"/>
  <c r="R33" i="15"/>
  <c r="H33" i="15"/>
  <c r="L31" i="15"/>
  <c r="S30" i="15"/>
  <c r="I30" i="15"/>
  <c r="M28" i="15"/>
  <c r="M35" i="15"/>
  <c r="N32" i="15"/>
  <c r="L28" i="15"/>
  <c r="M32" i="15"/>
  <c r="N29" i="15"/>
  <c r="L32" i="15"/>
  <c r="M29" i="15"/>
  <c r="N27" i="15"/>
  <c r="N33" i="15"/>
  <c r="L29" i="15"/>
  <c r="M27" i="15"/>
  <c r="S35" i="15"/>
  <c r="I35" i="15"/>
  <c r="M33" i="15"/>
  <c r="T32" i="15"/>
  <c r="J32" i="15"/>
  <c r="Q31" i="15"/>
  <c r="G31" i="15"/>
  <c r="R28" i="15"/>
  <c r="H28" i="15"/>
  <c r="L27" i="15"/>
  <c r="AH28" i="15"/>
  <c r="Q73" i="15" s="1"/>
  <c r="AC33" i="15"/>
  <c r="L78" i="15" s="1"/>
  <c r="AJ32" i="15"/>
  <c r="S77" i="15" s="1"/>
  <c r="Z32" i="15"/>
  <c r="I77" i="15" s="1"/>
  <c r="AC30" i="15"/>
  <c r="L75" i="15" s="1"/>
  <c r="AJ29" i="15"/>
  <c r="S74" i="15" s="1"/>
  <c r="Z29" i="15"/>
  <c r="I74" i="15" s="1"/>
  <c r="AC27" i="15"/>
  <c r="AD34" i="15"/>
  <c r="M79" i="15" s="1"/>
  <c r="AH32" i="15"/>
  <c r="Q77" i="15" s="1"/>
  <c r="X32" i="15"/>
  <c r="G77" i="15" s="1"/>
  <c r="AH29" i="15"/>
  <c r="Q74" i="15" s="1"/>
  <c r="X29" i="15"/>
  <c r="G74" i="15" s="1"/>
  <c r="AC34" i="15"/>
  <c r="L79" i="15" s="1"/>
  <c r="AJ33" i="15"/>
  <c r="S78" i="15" s="1"/>
  <c r="Z33" i="15"/>
  <c r="I78" i="15" s="1"/>
  <c r="AD31" i="15"/>
  <c r="M76" i="15" s="1"/>
  <c r="AJ30" i="15"/>
  <c r="S75" i="15" s="1"/>
  <c r="Z30" i="15"/>
  <c r="I75" i="15" s="1"/>
  <c r="AD28" i="15"/>
  <c r="AJ27" i="15"/>
  <c r="Z27" i="15"/>
  <c r="AC28" i="15"/>
  <c r="L73" i="15" s="1"/>
  <c r="AK34" i="15"/>
  <c r="T79" i="15" s="1"/>
  <c r="AA34" i="15"/>
  <c r="J79" i="15" s="1"/>
  <c r="AH33" i="15"/>
  <c r="Q78" i="15" s="1"/>
  <c r="X33" i="15"/>
  <c r="G78" i="15" s="1"/>
  <c r="AE32" i="15"/>
  <c r="N77" i="15" s="1"/>
  <c r="AB31" i="15"/>
  <c r="K76" i="15" s="1"/>
  <c r="AH30" i="15"/>
  <c r="Q75" i="15" s="1"/>
  <c r="X30" i="15"/>
  <c r="G75" i="15" s="1"/>
  <c r="AE29" i="15"/>
  <c r="AB28" i="15"/>
  <c r="K73" i="15" s="1"/>
  <c r="AH27" i="15"/>
  <c r="X27" i="15"/>
  <c r="AC35" i="15"/>
  <c r="L80" i="15" s="1"/>
  <c r="AJ34" i="15"/>
  <c r="S79" i="15" s="1"/>
  <c r="Z34" i="15"/>
  <c r="I79" i="15" s="1"/>
  <c r="AB35" i="15"/>
  <c r="K80" i="15" s="1"/>
  <c r="AI34" i="15"/>
  <c r="R79" i="15" s="1"/>
  <c r="Y34" i="15"/>
  <c r="H79" i="15" s="1"/>
  <c r="AC32" i="15"/>
  <c r="L77" i="15" s="1"/>
  <c r="AJ31" i="15"/>
  <c r="S76" i="15" s="1"/>
  <c r="Z31" i="15"/>
  <c r="I76" i="15" s="1"/>
  <c r="AE33" i="15"/>
  <c r="N78" i="15" s="1"/>
  <c r="AB32" i="15"/>
  <c r="K77" i="15" s="1"/>
  <c r="AI31" i="15"/>
  <c r="R76" i="15" s="1"/>
  <c r="Y31" i="15"/>
  <c r="H76" i="15" s="1"/>
  <c r="AE30" i="15"/>
  <c r="N75" i="15" s="1"/>
  <c r="U31" i="15"/>
  <c r="E14" i="4"/>
  <c r="X40" i="3"/>
  <c r="X14" i="3"/>
  <c r="X67" i="3"/>
  <c r="X46" i="3"/>
  <c r="N67" i="3"/>
  <c r="N40" i="3"/>
  <c r="N14" i="3"/>
  <c r="U18" i="3"/>
  <c r="U30" i="3" s="1"/>
  <c r="U6" i="3"/>
  <c r="Z46" i="3"/>
  <c r="Z40" i="3"/>
  <c r="Z67" i="3"/>
  <c r="W18" i="3"/>
  <c r="W30" i="3" s="1"/>
  <c r="W6" i="3"/>
  <c r="M18" i="3"/>
  <c r="M6" i="3"/>
  <c r="W67" i="3"/>
  <c r="W14" i="3"/>
  <c r="W46" i="3"/>
  <c r="W40" i="3"/>
  <c r="V67" i="3"/>
  <c r="V14" i="3"/>
  <c r="V40" i="3"/>
  <c r="L67" i="3"/>
  <c r="L40" i="3"/>
  <c r="E67" i="3"/>
  <c r="L14" i="3"/>
  <c r="T18" i="3"/>
  <c r="T30" i="3" s="1"/>
  <c r="P67" i="3"/>
  <c r="P46" i="3"/>
  <c r="P40" i="3"/>
  <c r="M14" i="3"/>
  <c r="M67" i="3"/>
  <c r="M40" i="3"/>
  <c r="S18" i="3"/>
  <c r="S30" i="3" s="1"/>
  <c r="AB18" i="13"/>
  <c r="R18" i="13"/>
  <c r="Y67" i="3"/>
  <c r="Y40" i="3"/>
  <c r="O40" i="3"/>
  <c r="T18" i="13"/>
  <c r="D66" i="12"/>
  <c r="C66" i="12"/>
  <c r="E42" i="12"/>
  <c r="G42" i="12"/>
  <c r="E43" i="12"/>
  <c r="C89" i="12" s="1"/>
  <c r="G89" i="12" s="1"/>
  <c r="G43" i="12"/>
  <c r="E44" i="12"/>
  <c r="C82" i="12" s="1"/>
  <c r="G82" i="12" s="1"/>
  <c r="G44" i="12"/>
  <c r="E45" i="12"/>
  <c r="C84" i="12" s="1"/>
  <c r="G84" i="12" s="1"/>
  <c r="G45" i="12"/>
  <c r="E46" i="12"/>
  <c r="C86" i="12" s="1"/>
  <c r="G86" i="12" s="1"/>
  <c r="G46" i="12"/>
  <c r="E47" i="12"/>
  <c r="G47" i="12"/>
  <c r="E48" i="12"/>
  <c r="G48" i="12"/>
  <c r="H48" i="12" s="1"/>
  <c r="E49" i="12"/>
  <c r="G49" i="12"/>
  <c r="E50" i="12"/>
  <c r="G50" i="12"/>
  <c r="H50" i="12" s="1"/>
  <c r="E51" i="12"/>
  <c r="G51" i="12"/>
  <c r="E52" i="12"/>
  <c r="G52" i="12"/>
  <c r="H52" i="12" s="1"/>
  <c r="E53" i="12"/>
  <c r="G53" i="12"/>
  <c r="H53" i="12" s="1"/>
  <c r="E54" i="12"/>
  <c r="G54" i="12"/>
  <c r="H54" i="12" s="1"/>
  <c r="E55" i="12"/>
  <c r="G55" i="12"/>
  <c r="H55" i="12" s="1"/>
  <c r="E56" i="12"/>
  <c r="C83" i="12" s="1"/>
  <c r="G83" i="12" s="1"/>
  <c r="G56" i="12"/>
  <c r="E57" i="12"/>
  <c r="C90" i="12" s="1"/>
  <c r="G90" i="12" s="1"/>
  <c r="G57" i="12"/>
  <c r="E58" i="12"/>
  <c r="G58" i="12"/>
  <c r="E59" i="12"/>
  <c r="G59" i="12"/>
  <c r="H59" i="12" s="1"/>
  <c r="E61" i="12"/>
  <c r="G61" i="12"/>
  <c r="H61" i="12" s="1"/>
  <c r="E62" i="12"/>
  <c r="G62" i="12"/>
  <c r="H62" i="12" s="1"/>
  <c r="E63" i="12"/>
  <c r="G63" i="12"/>
  <c r="H63" i="12" s="1"/>
  <c r="E64" i="12"/>
  <c r="G64" i="12"/>
  <c r="H64" i="12" s="1"/>
  <c r="E65" i="12"/>
  <c r="G65" i="12"/>
  <c r="H65" i="12" s="1"/>
  <c r="I41" i="13"/>
  <c r="I42" i="13"/>
  <c r="I43" i="13"/>
  <c r="I44" i="13"/>
  <c r="I45" i="13"/>
  <c r="I46" i="13"/>
  <c r="I47" i="13"/>
  <c r="I48" i="13"/>
  <c r="I49" i="13"/>
  <c r="I50" i="13"/>
  <c r="I51" i="13"/>
  <c r="I52" i="13"/>
  <c r="I53" i="13"/>
  <c r="I54" i="13"/>
  <c r="I55" i="13"/>
  <c r="I56" i="13"/>
  <c r="I57" i="13"/>
  <c r="I58" i="13"/>
  <c r="I59" i="13"/>
  <c r="I60" i="13"/>
  <c r="I61" i="13"/>
  <c r="I62" i="13"/>
  <c r="I63" i="13"/>
  <c r="I64" i="13"/>
  <c r="I65" i="13"/>
  <c r="F41" i="13"/>
  <c r="G41" i="13"/>
  <c r="H41" i="13"/>
  <c r="F42" i="13"/>
  <c r="G42" i="13"/>
  <c r="H42" i="13"/>
  <c r="F43" i="13"/>
  <c r="G43" i="13"/>
  <c r="H43" i="13"/>
  <c r="F44" i="13"/>
  <c r="G44" i="13"/>
  <c r="H44" i="13"/>
  <c r="F45" i="13"/>
  <c r="G45" i="13"/>
  <c r="H45" i="13"/>
  <c r="F46" i="13"/>
  <c r="G46" i="13"/>
  <c r="H46" i="13"/>
  <c r="F47" i="13"/>
  <c r="G47" i="13"/>
  <c r="H47" i="13"/>
  <c r="F48" i="13"/>
  <c r="G48" i="13"/>
  <c r="H48" i="13"/>
  <c r="F49" i="13"/>
  <c r="G49" i="13"/>
  <c r="H49" i="13"/>
  <c r="F50" i="13"/>
  <c r="G50" i="13"/>
  <c r="H50" i="13"/>
  <c r="F51" i="13"/>
  <c r="G51" i="13"/>
  <c r="H51" i="13"/>
  <c r="F52" i="13"/>
  <c r="G52" i="13"/>
  <c r="H52" i="13"/>
  <c r="F53" i="13"/>
  <c r="G53" i="13"/>
  <c r="H53" i="13"/>
  <c r="F54" i="13"/>
  <c r="G54" i="13"/>
  <c r="H54" i="13"/>
  <c r="F55" i="13"/>
  <c r="G55" i="13"/>
  <c r="H55" i="13"/>
  <c r="F56" i="13"/>
  <c r="G56" i="13"/>
  <c r="H56" i="13"/>
  <c r="F57" i="13"/>
  <c r="G57" i="13"/>
  <c r="H57" i="13"/>
  <c r="F58" i="13"/>
  <c r="G58" i="13"/>
  <c r="H58" i="13"/>
  <c r="F59" i="13"/>
  <c r="G59" i="13"/>
  <c r="H59" i="13"/>
  <c r="F60" i="13"/>
  <c r="G60" i="13"/>
  <c r="H60" i="13"/>
  <c r="F61" i="13"/>
  <c r="G61" i="13"/>
  <c r="H61" i="13"/>
  <c r="F62" i="13"/>
  <c r="G62" i="13"/>
  <c r="H62" i="13"/>
  <c r="F63" i="13"/>
  <c r="G63" i="13"/>
  <c r="H63" i="13"/>
  <c r="F64" i="13"/>
  <c r="G64" i="13"/>
  <c r="H64" i="13"/>
  <c r="F65" i="13"/>
  <c r="G65" i="13"/>
  <c r="H65" i="13"/>
  <c r="E42" i="13"/>
  <c r="E43" i="13"/>
  <c r="E44" i="13"/>
  <c r="E45" i="13"/>
  <c r="E46" i="13"/>
  <c r="E47" i="13"/>
  <c r="E48" i="13"/>
  <c r="E49" i="13"/>
  <c r="E50" i="13"/>
  <c r="E51" i="13"/>
  <c r="E52" i="13"/>
  <c r="E53" i="13"/>
  <c r="E54" i="13"/>
  <c r="E55" i="13"/>
  <c r="E56" i="13"/>
  <c r="E57" i="13"/>
  <c r="E58" i="13"/>
  <c r="E59" i="13"/>
  <c r="E60" i="13"/>
  <c r="E61" i="13"/>
  <c r="E62" i="13"/>
  <c r="E63" i="13"/>
  <c r="E64" i="13"/>
  <c r="E65" i="13"/>
  <c r="E41" i="13"/>
  <c r="L13" i="13"/>
  <c r="M13" i="13" s="1"/>
  <c r="L16" i="13"/>
  <c r="L10" i="13" s="1"/>
  <c r="L17" i="13" s="1"/>
  <c r="L21" i="13" s="1"/>
  <c r="C41" i="6"/>
  <c r="D41" i="6" s="1"/>
  <c r="D40" i="6"/>
  <c r="F40" i="6" s="1"/>
  <c r="E41" i="6"/>
  <c r="E40" i="6"/>
  <c r="M73" i="3"/>
  <c r="N73" i="3"/>
  <c r="O73" i="3"/>
  <c r="L73" i="3"/>
  <c r="M20" i="3"/>
  <c r="N20" i="3"/>
  <c r="O20" i="3"/>
  <c r="L20" i="3"/>
  <c r="I17" i="16" l="1"/>
  <c r="J10" i="16"/>
  <c r="J19" i="16" s="1"/>
  <c r="J16" i="16"/>
  <c r="I15" i="16"/>
  <c r="L15" i="16" s="1"/>
  <c r="J18" i="16"/>
  <c r="K16" i="16"/>
  <c r="L16" i="16"/>
  <c r="L14" i="16"/>
  <c r="K14" i="16"/>
  <c r="K17" i="16"/>
  <c r="L17" i="16"/>
  <c r="K13" i="16"/>
  <c r="L13" i="16"/>
  <c r="I10" i="16"/>
  <c r="K15" i="16"/>
  <c r="I18" i="16"/>
  <c r="L18" i="16" s="1"/>
  <c r="I12" i="16"/>
  <c r="K12" i="16" s="1"/>
  <c r="K11" i="16"/>
  <c r="L11" i="16"/>
  <c r="L15" i="8"/>
  <c r="M14" i="8"/>
  <c r="N14" i="8" s="1"/>
  <c r="O14" i="8" s="1"/>
  <c r="P14" i="8" s="1"/>
  <c r="Q14" i="8" s="1"/>
  <c r="R14" i="8" s="1"/>
  <c r="S14" i="8" s="1"/>
  <c r="T14" i="8" s="1"/>
  <c r="U14" i="8" s="1"/>
  <c r="V14" i="8" s="1"/>
  <c r="W14" i="8" s="1"/>
  <c r="X14" i="8" s="1"/>
  <c r="Y14" i="8" s="1"/>
  <c r="Z14" i="8" s="1"/>
  <c r="AA14" i="8" s="1"/>
  <c r="AB14" i="8" s="1"/>
  <c r="S2" i="7"/>
  <c r="S2" i="19"/>
  <c r="S2" i="8"/>
  <c r="S2" i="3"/>
  <c r="S2" i="13"/>
  <c r="S2" i="6"/>
  <c r="S2" i="2"/>
  <c r="S2" i="4"/>
  <c r="N14" i="6"/>
  <c r="M15" i="6"/>
  <c r="M19" i="6" s="1"/>
  <c r="H18" i="20"/>
  <c r="J18" i="20" s="1"/>
  <c r="L18" i="20" s="1"/>
  <c r="I18" i="20"/>
  <c r="K18" i="20" s="1"/>
  <c r="M18" i="20" s="1"/>
  <c r="F20" i="20"/>
  <c r="G19" i="20"/>
  <c r="U34" i="7"/>
  <c r="U46" i="7"/>
  <c r="U53" i="7"/>
  <c r="U65" i="7"/>
  <c r="U29" i="7"/>
  <c r="U41" i="7"/>
  <c r="U48" i="7"/>
  <c r="U60" i="7"/>
  <c r="U36" i="7"/>
  <c r="U43" i="7"/>
  <c r="U55" i="7"/>
  <c r="U67" i="7"/>
  <c r="U31" i="7"/>
  <c r="U38" i="7"/>
  <c r="U50" i="7"/>
  <c r="U62" i="7"/>
  <c r="U52" i="7"/>
  <c r="U33" i="7"/>
  <c r="U45" i="7"/>
  <c r="U57" i="7"/>
  <c r="U64" i="7"/>
  <c r="U28" i="7"/>
  <c r="U40" i="7"/>
  <c r="U35" i="7"/>
  <c r="U47" i="7"/>
  <c r="U30" i="7"/>
  <c r="U42" i="7"/>
  <c r="U32" i="7"/>
  <c r="U39" i="7"/>
  <c r="U51" i="7"/>
  <c r="U58" i="7"/>
  <c r="U44" i="7"/>
  <c r="U66" i="7"/>
  <c r="U37" i="7"/>
  <c r="U54" i="7"/>
  <c r="U63" i="7"/>
  <c r="U59" i="7"/>
  <c r="U56" i="7"/>
  <c r="U61" i="7"/>
  <c r="U49" i="7"/>
  <c r="W16" i="7"/>
  <c r="V19" i="7"/>
  <c r="V15" i="7"/>
  <c r="W8" i="7"/>
  <c r="L5" i="19"/>
  <c r="L21" i="19" s="1"/>
  <c r="L5" i="2"/>
  <c r="D87" i="12"/>
  <c r="H87" i="12" s="1"/>
  <c r="H42" i="12"/>
  <c r="G66" i="12"/>
  <c r="D86" i="12"/>
  <c r="H86" i="12" s="1"/>
  <c r="H46" i="12"/>
  <c r="D90" i="12"/>
  <c r="H90" i="12" s="1"/>
  <c r="H57" i="12"/>
  <c r="D83" i="12"/>
  <c r="H83" i="12" s="1"/>
  <c r="H56" i="12"/>
  <c r="H49" i="12"/>
  <c r="D84" i="12"/>
  <c r="H84" i="12" s="1"/>
  <c r="H45" i="12"/>
  <c r="H43" i="12"/>
  <c r="D89" i="12"/>
  <c r="H89" i="12" s="1"/>
  <c r="H44" i="12"/>
  <c r="D82" i="12"/>
  <c r="H82" i="12" s="1"/>
  <c r="H58" i="12"/>
  <c r="E66" i="12"/>
  <c r="H51" i="12"/>
  <c r="D88" i="12"/>
  <c r="H88" i="12" s="1"/>
  <c r="C85" i="12"/>
  <c r="G85" i="12" s="1"/>
  <c r="G91" i="12" s="1"/>
  <c r="H47" i="12"/>
  <c r="D85" i="12"/>
  <c r="H85" i="12" s="1"/>
  <c r="C88" i="12"/>
  <c r="G88" i="12" s="1"/>
  <c r="F66" i="12"/>
  <c r="C87" i="12"/>
  <c r="G87" i="12" s="1"/>
  <c r="L72" i="15"/>
  <c r="AC36" i="15"/>
  <c r="X36" i="15"/>
  <c r="G72" i="15"/>
  <c r="AH36" i="15"/>
  <c r="Q72" i="15"/>
  <c r="AB36" i="15"/>
  <c r="N74" i="15"/>
  <c r="AE36" i="15"/>
  <c r="AI36" i="15"/>
  <c r="I72" i="15"/>
  <c r="Z36" i="15"/>
  <c r="S72" i="15"/>
  <c r="AJ36" i="15"/>
  <c r="Y36" i="15"/>
  <c r="AD36" i="15"/>
  <c r="M73" i="15"/>
  <c r="AK36" i="15"/>
  <c r="L5" i="3"/>
  <c r="L5" i="4"/>
  <c r="W72" i="3"/>
  <c r="W84" i="3" s="1"/>
  <c r="M72" i="3"/>
  <c r="U72" i="3"/>
  <c r="U84" i="3" s="1"/>
  <c r="C42" i="6"/>
  <c r="F41" i="6"/>
  <c r="P13" i="13"/>
  <c r="Q13" i="13" s="1"/>
  <c r="N13" i="13"/>
  <c r="O13" i="13" s="1"/>
  <c r="M12" i="13"/>
  <c r="M16" i="13"/>
  <c r="E42" i="6"/>
  <c r="G19" i="4"/>
  <c r="G18" i="4"/>
  <c r="L15" i="4"/>
  <c r="M15" i="4" s="1"/>
  <c r="N15" i="4" s="1"/>
  <c r="O15" i="4" s="1"/>
  <c r="P15" i="4" s="1"/>
  <c r="Q15" i="4" s="1"/>
  <c r="R15" i="4" s="1"/>
  <c r="S15" i="4" s="1"/>
  <c r="T15" i="4" s="1"/>
  <c r="U15" i="4" s="1"/>
  <c r="V15" i="4" s="1"/>
  <c r="W15" i="4" s="1"/>
  <c r="X15" i="4" s="1"/>
  <c r="Y15" i="4" s="1"/>
  <c r="Z15" i="4" s="1"/>
  <c r="AA15" i="4" s="1"/>
  <c r="AB15" i="4" s="1"/>
  <c r="G14" i="4"/>
  <c r="L13" i="4"/>
  <c r="M13" i="4" s="1"/>
  <c r="G67" i="3"/>
  <c r="E40" i="3"/>
  <c r="G40" i="3" s="1"/>
  <c r="L66" i="3"/>
  <c r="M66" i="3" s="1"/>
  <c r="N66" i="3" s="1"/>
  <c r="O66" i="3" s="1"/>
  <c r="P66" i="3" s="1"/>
  <c r="Q66" i="3" s="1"/>
  <c r="R66" i="3" s="1"/>
  <c r="S66" i="3" s="1"/>
  <c r="T66" i="3" s="1"/>
  <c r="U66" i="3" s="1"/>
  <c r="V66" i="3" s="1"/>
  <c r="W66" i="3" s="1"/>
  <c r="X66" i="3" s="1"/>
  <c r="Y66" i="3" s="1"/>
  <c r="Z66" i="3" s="1"/>
  <c r="AA66" i="3" s="1"/>
  <c r="AB66" i="3" s="1"/>
  <c r="L13" i="3"/>
  <c r="M13" i="3" s="1"/>
  <c r="N13" i="3" s="1"/>
  <c r="O13" i="3" s="1"/>
  <c r="P13" i="3" s="1"/>
  <c r="Q13" i="3" s="1"/>
  <c r="R13" i="3" s="1"/>
  <c r="S13" i="3" s="1"/>
  <c r="T13" i="3" s="1"/>
  <c r="U13" i="3" s="1"/>
  <c r="V13" i="3" s="1"/>
  <c r="W13" i="3" s="1"/>
  <c r="X13" i="3" s="1"/>
  <c r="Y13" i="3" s="1"/>
  <c r="Z13" i="3" s="1"/>
  <c r="AA13" i="3" s="1"/>
  <c r="AB13" i="3" s="1"/>
  <c r="L39" i="3"/>
  <c r="M39" i="3" s="1"/>
  <c r="N39" i="3" s="1"/>
  <c r="O39" i="3" s="1"/>
  <c r="P39" i="3" s="1"/>
  <c r="Q39" i="3" s="1"/>
  <c r="R39" i="3" s="1"/>
  <c r="S39" i="3" s="1"/>
  <c r="T39" i="3" s="1"/>
  <c r="U39" i="3" s="1"/>
  <c r="V39" i="3" s="1"/>
  <c r="W39" i="3" s="1"/>
  <c r="X39" i="3" s="1"/>
  <c r="Y39" i="3" s="1"/>
  <c r="Z39" i="3" s="1"/>
  <c r="AA39" i="3" s="1"/>
  <c r="AB39" i="3" s="1"/>
  <c r="M45" i="3"/>
  <c r="Z72" i="3"/>
  <c r="Z84" i="3" s="1"/>
  <c r="G54" i="3"/>
  <c r="G53" i="3"/>
  <c r="G49" i="3"/>
  <c r="G50" i="3"/>
  <c r="G51" i="3"/>
  <c r="G48" i="3"/>
  <c r="G81" i="3"/>
  <c r="L68" i="3"/>
  <c r="M68" i="3" s="1"/>
  <c r="N68" i="3" s="1"/>
  <c r="O68" i="3" s="1"/>
  <c r="P68" i="3" s="1"/>
  <c r="Q68" i="3" s="1"/>
  <c r="R68" i="3" s="1"/>
  <c r="S68" i="3" s="1"/>
  <c r="T68" i="3" s="1"/>
  <c r="U68" i="3" s="1"/>
  <c r="V68" i="3" s="1"/>
  <c r="W68" i="3" s="1"/>
  <c r="X68" i="3" s="1"/>
  <c r="Y68" i="3" s="1"/>
  <c r="Z68" i="3" s="1"/>
  <c r="AA68" i="3" s="1"/>
  <c r="AB68" i="3" s="1"/>
  <c r="L41" i="3"/>
  <c r="M41" i="3" s="1"/>
  <c r="N41" i="3" s="1"/>
  <c r="O41" i="3" s="1"/>
  <c r="P41" i="3" s="1"/>
  <c r="Q41" i="3" s="1"/>
  <c r="R41" i="3" s="1"/>
  <c r="S41" i="3" s="1"/>
  <c r="T41" i="3" s="1"/>
  <c r="U41" i="3" s="1"/>
  <c r="V41" i="3" s="1"/>
  <c r="W41" i="3" s="1"/>
  <c r="X41" i="3" s="1"/>
  <c r="Y41" i="3" s="1"/>
  <c r="Z41" i="3" s="1"/>
  <c r="AA41" i="3" s="1"/>
  <c r="AB41" i="3" s="1"/>
  <c r="G76" i="3"/>
  <c r="G77" i="3"/>
  <c r="G78" i="3"/>
  <c r="G75" i="3"/>
  <c r="G22" i="3"/>
  <c r="G24" i="3"/>
  <c r="G25" i="3"/>
  <c r="G27" i="3"/>
  <c r="G28" i="3"/>
  <c r="G23" i="3"/>
  <c r="E38" i="3"/>
  <c r="G65" i="3"/>
  <c r="L65" i="3" s="1"/>
  <c r="E12" i="3"/>
  <c r="G12" i="3" s="1"/>
  <c r="L12" i="3" s="1"/>
  <c r="M12" i="3" s="1"/>
  <c r="E63" i="3"/>
  <c r="E36" i="3"/>
  <c r="E10" i="3"/>
  <c r="I19" i="16" l="1"/>
  <c r="K18" i="16"/>
  <c r="L12" i="16"/>
  <c r="L10" i="16"/>
  <c r="L19" i="16" s="1"/>
  <c r="Q11" i="16" s="1"/>
  <c r="K10" i="16"/>
  <c r="C37" i="19"/>
  <c r="E39" i="19" s="1"/>
  <c r="O37" i="19"/>
  <c r="I37" i="19"/>
  <c r="L16" i="4"/>
  <c r="L10" i="4" s="1"/>
  <c r="N13" i="4"/>
  <c r="M16" i="4"/>
  <c r="G37" i="3"/>
  <c r="L37" i="3" s="1"/>
  <c r="G36" i="3"/>
  <c r="G38" i="3"/>
  <c r="L38" i="3" s="1"/>
  <c r="G64" i="3"/>
  <c r="L64" i="3" s="1"/>
  <c r="G63" i="3"/>
  <c r="U45" i="3"/>
  <c r="U57" i="3" s="1"/>
  <c r="Y22" i="3"/>
  <c r="P22" i="3"/>
  <c r="Z22" i="3"/>
  <c r="X22" i="3"/>
  <c r="Q22" i="3"/>
  <c r="AA22" i="3"/>
  <c r="R22" i="3"/>
  <c r="AB22" i="3"/>
  <c r="S22" i="3"/>
  <c r="T22" i="3"/>
  <c r="U22" i="3"/>
  <c r="V22" i="3"/>
  <c r="W22" i="3"/>
  <c r="L22" i="3"/>
  <c r="N22" i="3"/>
  <c r="O22" i="3"/>
  <c r="M22" i="3"/>
  <c r="F40" i="18"/>
  <c r="P71" i="3"/>
  <c r="P83" i="3" s="1"/>
  <c r="V71" i="3"/>
  <c r="V83" i="3" s="1"/>
  <c r="X71" i="3"/>
  <c r="X83" i="3" s="1"/>
  <c r="Y71" i="3"/>
  <c r="Y83" i="3" s="1"/>
  <c r="Z71" i="3"/>
  <c r="Z83" i="3" s="1"/>
  <c r="O71" i="3"/>
  <c r="N71" i="3"/>
  <c r="S71" i="3"/>
  <c r="S83" i="3" s="1"/>
  <c r="U71" i="3"/>
  <c r="U83" i="3" s="1"/>
  <c r="T71" i="3"/>
  <c r="T83" i="3" s="1"/>
  <c r="AB71" i="3"/>
  <c r="AB83" i="3" s="1"/>
  <c r="AA71" i="3"/>
  <c r="AA83" i="3" s="1"/>
  <c r="W71" i="3"/>
  <c r="W83" i="3" s="1"/>
  <c r="Q71" i="3"/>
  <c r="Q83" i="3" s="1"/>
  <c r="L71" i="3"/>
  <c r="M71" i="3"/>
  <c r="R71" i="3"/>
  <c r="R83" i="3" s="1"/>
  <c r="W45" i="3"/>
  <c r="W57" i="3" s="1"/>
  <c r="P72" i="3"/>
  <c r="P84" i="3" s="1"/>
  <c r="Q72" i="3"/>
  <c r="Q84" i="3" s="1"/>
  <c r="AB72" i="3"/>
  <c r="AB84" i="3" s="1"/>
  <c r="Y72" i="3"/>
  <c r="Y84" i="3" s="1"/>
  <c r="AA72" i="3"/>
  <c r="AA84" i="3" s="1"/>
  <c r="V72" i="3"/>
  <c r="V84" i="3" s="1"/>
  <c r="S72" i="3"/>
  <c r="S84" i="3" s="1"/>
  <c r="L72" i="3"/>
  <c r="R72" i="3"/>
  <c r="R84" i="3" s="1"/>
  <c r="T72" i="3"/>
  <c r="T84" i="3" s="1"/>
  <c r="O72" i="3"/>
  <c r="X72" i="3"/>
  <c r="X84" i="3" s="1"/>
  <c r="P45" i="3"/>
  <c r="P57" i="3" s="1"/>
  <c r="Q45" i="3"/>
  <c r="Q57" i="3" s="1"/>
  <c r="O45" i="3"/>
  <c r="X45" i="3"/>
  <c r="X57" i="3" s="1"/>
  <c r="Y45" i="3"/>
  <c r="Y57" i="3" s="1"/>
  <c r="Z45" i="3"/>
  <c r="Z57" i="3" s="1"/>
  <c r="AA45" i="3"/>
  <c r="AA57" i="3" s="1"/>
  <c r="N45" i="3"/>
  <c r="S45" i="3"/>
  <c r="S57" i="3" s="1"/>
  <c r="R45" i="3"/>
  <c r="R57" i="3" s="1"/>
  <c r="V45" i="3"/>
  <c r="V57" i="3" s="1"/>
  <c r="AB45" i="3"/>
  <c r="AB57" i="3" s="1"/>
  <c r="L45" i="3"/>
  <c r="T45" i="3"/>
  <c r="T57" i="3" s="1"/>
  <c r="G11" i="3"/>
  <c r="G10" i="3"/>
  <c r="F39" i="18"/>
  <c r="R44" i="3"/>
  <c r="R56" i="3" s="1"/>
  <c r="X44" i="3"/>
  <c r="X56" i="3" s="1"/>
  <c r="Y44" i="3"/>
  <c r="Y56" i="3" s="1"/>
  <c r="N44" i="3"/>
  <c r="Z44" i="3"/>
  <c r="Z56" i="3" s="1"/>
  <c r="AA44" i="3"/>
  <c r="AA56" i="3" s="1"/>
  <c r="Q44" i="3"/>
  <c r="Q56" i="3" s="1"/>
  <c r="AB44" i="3"/>
  <c r="AB56" i="3" s="1"/>
  <c r="O44" i="3"/>
  <c r="P44" i="3"/>
  <c r="P56" i="3" s="1"/>
  <c r="U44" i="3"/>
  <c r="U56" i="3" s="1"/>
  <c r="S44" i="3"/>
  <c r="S56" i="3" s="1"/>
  <c r="T44" i="3"/>
  <c r="T56" i="3" s="1"/>
  <c r="M44" i="3"/>
  <c r="L44" i="3"/>
  <c r="V44" i="3"/>
  <c r="V56" i="3" s="1"/>
  <c r="W44" i="3"/>
  <c r="W56" i="3" s="1"/>
  <c r="N72" i="3"/>
  <c r="T2" i="7"/>
  <c r="T2" i="19"/>
  <c r="T2" i="4"/>
  <c r="T2" i="13"/>
  <c r="T2" i="3"/>
  <c r="T2" i="2"/>
  <c r="T2" i="8"/>
  <c r="T2" i="6"/>
  <c r="O14" i="6"/>
  <c r="N15" i="6"/>
  <c r="N19" i="6" s="1"/>
  <c r="L19" i="8"/>
  <c r="M15" i="8"/>
  <c r="H19" i="20"/>
  <c r="J19" i="20" s="1"/>
  <c r="L19" i="20" s="1"/>
  <c r="I19" i="20"/>
  <c r="K19" i="20" s="1"/>
  <c r="M19" i="20" s="1"/>
  <c r="F21" i="20"/>
  <c r="G20" i="20"/>
  <c r="V32" i="7"/>
  <c r="V39" i="7"/>
  <c r="V51" i="7"/>
  <c r="V58" i="7"/>
  <c r="V34" i="7"/>
  <c r="V46" i="7"/>
  <c r="V53" i="7"/>
  <c r="V65" i="7"/>
  <c r="V29" i="7"/>
  <c r="V41" i="7"/>
  <c r="V48" i="7"/>
  <c r="V60" i="7"/>
  <c r="V36" i="7"/>
  <c r="V43" i="7"/>
  <c r="V55" i="7"/>
  <c r="V67" i="7"/>
  <c r="V31" i="7"/>
  <c r="V38" i="7"/>
  <c r="V50" i="7"/>
  <c r="V62" i="7"/>
  <c r="V33" i="7"/>
  <c r="V28" i="7"/>
  <c r="V40" i="7"/>
  <c r="V35" i="7"/>
  <c r="V47" i="7"/>
  <c r="V37" i="7"/>
  <c r="V44" i="7"/>
  <c r="V56" i="7"/>
  <c r="V63" i="7"/>
  <c r="V45" i="7"/>
  <c r="V57" i="7"/>
  <c r="V52" i="7"/>
  <c r="V42" i="7"/>
  <c r="V30" i="7"/>
  <c r="V64" i="7"/>
  <c r="V66" i="7"/>
  <c r="V59" i="7"/>
  <c r="V54" i="7"/>
  <c r="V49" i="7"/>
  <c r="V61" i="7"/>
  <c r="X16" i="7"/>
  <c r="W19" i="7"/>
  <c r="X8" i="7"/>
  <c r="W15" i="7"/>
  <c r="M29" i="3"/>
  <c r="N12" i="3"/>
  <c r="L29" i="3"/>
  <c r="U19" i="4"/>
  <c r="V19" i="4"/>
  <c r="AB19" i="4"/>
  <c r="M19" i="4"/>
  <c r="M31" i="4" s="1"/>
  <c r="W19" i="4"/>
  <c r="N19" i="4"/>
  <c r="N31" i="4" s="1"/>
  <c r="X19" i="4"/>
  <c r="T19" i="4"/>
  <c r="T31" i="4" s="1"/>
  <c r="O19" i="4"/>
  <c r="O31" i="4" s="1"/>
  <c r="Y19" i="4"/>
  <c r="P19" i="4"/>
  <c r="P31" i="4" s="1"/>
  <c r="Z19" i="4"/>
  <c r="L19" i="4"/>
  <c r="L31" i="4" s="1"/>
  <c r="AA19" i="4"/>
  <c r="R19" i="4"/>
  <c r="R31" i="4" s="1"/>
  <c r="Q19" i="4"/>
  <c r="Q31" i="4" s="1"/>
  <c r="S19" i="4"/>
  <c r="S31" i="4" s="1"/>
  <c r="T18" i="4"/>
  <c r="U18" i="4"/>
  <c r="Q18" i="4"/>
  <c r="V18" i="4"/>
  <c r="M18" i="4"/>
  <c r="M30" i="4" s="1"/>
  <c r="W18" i="4"/>
  <c r="L18" i="4"/>
  <c r="Z18" i="4"/>
  <c r="N18" i="4"/>
  <c r="X18" i="4"/>
  <c r="P18" i="4"/>
  <c r="AA18" i="4"/>
  <c r="AB18" i="4"/>
  <c r="O18" i="4"/>
  <c r="Y18" i="4"/>
  <c r="S18" i="4"/>
  <c r="R18" i="4"/>
  <c r="H91" i="12"/>
  <c r="C91" i="12"/>
  <c r="D91" i="12"/>
  <c r="H66" i="12"/>
  <c r="G93" i="12" s="1"/>
  <c r="P30" i="4"/>
  <c r="N16" i="13"/>
  <c r="M10" i="13"/>
  <c r="M17" i="13" s="1"/>
  <c r="M21" i="13" s="1"/>
  <c r="M65" i="3"/>
  <c r="L82" i="3"/>
  <c r="C43" i="6"/>
  <c r="D42" i="6"/>
  <c r="F42" i="6"/>
  <c r="L11" i="4"/>
  <c r="L30" i="4"/>
  <c r="L18" i="6"/>
  <c r="L17" i="6"/>
  <c r="L16" i="6"/>
  <c r="L19" i="6" s="1"/>
  <c r="L13" i="6"/>
  <c r="L11" i="6"/>
  <c r="L10" i="6"/>
  <c r="L9" i="6"/>
  <c r="L8" i="6"/>
  <c r="L15" i="3"/>
  <c r="M15" i="3" s="1"/>
  <c r="N15" i="3" s="1"/>
  <c r="O15" i="3" s="1"/>
  <c r="P15" i="3" s="1"/>
  <c r="Q15" i="3" s="1"/>
  <c r="R15" i="3" s="1"/>
  <c r="S15" i="3" s="1"/>
  <c r="T15" i="3" s="1"/>
  <c r="U15" i="3" s="1"/>
  <c r="V15" i="3" s="1"/>
  <c r="W15" i="3" s="1"/>
  <c r="X15" i="3" s="1"/>
  <c r="Y15" i="3" s="1"/>
  <c r="Z15" i="3" s="1"/>
  <c r="AA15" i="3" s="1"/>
  <c r="AB15" i="3" s="1"/>
  <c r="L42" i="2"/>
  <c r="M42" i="2" s="1"/>
  <c r="N42" i="2" s="1"/>
  <c r="O42" i="2" s="1"/>
  <c r="P42" i="2" s="1"/>
  <c r="Q42" i="2" s="1"/>
  <c r="R42" i="2" s="1"/>
  <c r="S42" i="2" s="1"/>
  <c r="T42" i="2" s="1"/>
  <c r="U42" i="2" s="1"/>
  <c r="V42" i="2" s="1"/>
  <c r="W42" i="2" s="1"/>
  <c r="X42" i="2" s="1"/>
  <c r="Y42" i="2" s="1"/>
  <c r="Z42" i="2" s="1"/>
  <c r="AA42" i="2" s="1"/>
  <c r="AB42" i="2" s="1"/>
  <c r="L22" i="2"/>
  <c r="M22" i="2" s="1"/>
  <c r="N22" i="2" s="1"/>
  <c r="O22" i="2" s="1"/>
  <c r="P22" i="2" s="1"/>
  <c r="Q22" i="2" s="1"/>
  <c r="R22" i="2" s="1"/>
  <c r="S22" i="2" s="1"/>
  <c r="T22" i="2" s="1"/>
  <c r="U22" i="2" s="1"/>
  <c r="V22" i="2" s="1"/>
  <c r="W22" i="2" s="1"/>
  <c r="X22" i="2" s="1"/>
  <c r="Y22" i="2" s="1"/>
  <c r="Z22" i="2" s="1"/>
  <c r="AA22" i="2" s="1"/>
  <c r="AB22" i="2" s="1"/>
  <c r="L20" i="2"/>
  <c r="M20" i="2" s="1"/>
  <c r="N20" i="2" s="1"/>
  <c r="O20" i="2" s="1"/>
  <c r="P20" i="2" s="1"/>
  <c r="Q20" i="2" s="1"/>
  <c r="R20" i="2" s="1"/>
  <c r="S20" i="2" s="1"/>
  <c r="T20" i="2" s="1"/>
  <c r="U20" i="2" s="1"/>
  <c r="V20" i="2" s="1"/>
  <c r="W20" i="2" s="1"/>
  <c r="X20" i="2" s="1"/>
  <c r="Y20" i="2" s="1"/>
  <c r="Z20" i="2" s="1"/>
  <c r="AA20" i="2" s="1"/>
  <c r="AB20" i="2" s="1"/>
  <c r="L39" i="2"/>
  <c r="M39" i="2" s="1"/>
  <c r="N39" i="2" s="1"/>
  <c r="O39" i="2" s="1"/>
  <c r="P39" i="2" s="1"/>
  <c r="Q39" i="2" s="1"/>
  <c r="R39" i="2" s="1"/>
  <c r="S39" i="2" s="1"/>
  <c r="T39" i="2" s="1"/>
  <c r="U39" i="2" s="1"/>
  <c r="V39" i="2" s="1"/>
  <c r="W39" i="2" s="1"/>
  <c r="X39" i="2" s="1"/>
  <c r="Y39" i="2" s="1"/>
  <c r="Z39" i="2" s="1"/>
  <c r="AA39" i="2" s="1"/>
  <c r="AB39" i="2" s="1"/>
  <c r="L40" i="2"/>
  <c r="M40" i="2" s="1"/>
  <c r="N40" i="2" s="1"/>
  <c r="O40" i="2" s="1"/>
  <c r="P40" i="2" s="1"/>
  <c r="Q40" i="2" s="1"/>
  <c r="R40" i="2" s="1"/>
  <c r="S40" i="2" s="1"/>
  <c r="T40" i="2" s="1"/>
  <c r="U40" i="2" s="1"/>
  <c r="V40" i="2" s="1"/>
  <c r="W40" i="2" s="1"/>
  <c r="X40" i="2" s="1"/>
  <c r="Y40" i="2" s="1"/>
  <c r="Z40" i="2" s="1"/>
  <c r="AA40" i="2" s="1"/>
  <c r="AB40" i="2" s="1"/>
  <c r="L35" i="2"/>
  <c r="M35" i="2" s="1"/>
  <c r="N35" i="2" s="1"/>
  <c r="O35" i="2" s="1"/>
  <c r="P35" i="2" s="1"/>
  <c r="Q35" i="2" s="1"/>
  <c r="R35" i="2" s="1"/>
  <c r="S35" i="2" s="1"/>
  <c r="T35" i="2" s="1"/>
  <c r="U35" i="2" s="1"/>
  <c r="V35" i="2" s="1"/>
  <c r="W35" i="2" s="1"/>
  <c r="X35" i="2" s="1"/>
  <c r="Y35" i="2" s="1"/>
  <c r="Z35" i="2" s="1"/>
  <c r="AA35" i="2" s="1"/>
  <c r="AB35" i="2" s="1"/>
  <c r="M33" i="2"/>
  <c r="L32" i="2"/>
  <c r="M32" i="2" s="1"/>
  <c r="N32" i="2" s="1"/>
  <c r="O32" i="2" s="1"/>
  <c r="P32" i="2" s="1"/>
  <c r="Q32" i="2" s="1"/>
  <c r="R32" i="2" s="1"/>
  <c r="S32" i="2" s="1"/>
  <c r="T32" i="2" s="1"/>
  <c r="U32" i="2" s="1"/>
  <c r="V32" i="2" s="1"/>
  <c r="W32" i="2" s="1"/>
  <c r="X32" i="2" s="1"/>
  <c r="Y32" i="2" s="1"/>
  <c r="Z32" i="2" s="1"/>
  <c r="AA32" i="2" s="1"/>
  <c r="AB32" i="2" s="1"/>
  <c r="L12" i="2"/>
  <c r="M12" i="2" s="1"/>
  <c r="N12" i="2" s="1"/>
  <c r="O12" i="2" s="1"/>
  <c r="P12" i="2" s="1"/>
  <c r="Q12" i="2" s="1"/>
  <c r="R12" i="2" s="1"/>
  <c r="S12" i="2" s="1"/>
  <c r="T12" i="2" s="1"/>
  <c r="U12" i="2" s="1"/>
  <c r="V12" i="2" s="1"/>
  <c r="W12" i="2" s="1"/>
  <c r="X12" i="2" s="1"/>
  <c r="Y12" i="2" s="1"/>
  <c r="Z12" i="2" s="1"/>
  <c r="AA12" i="2" s="1"/>
  <c r="AB12" i="2" s="1"/>
  <c r="M13" i="2"/>
  <c r="L15" i="2"/>
  <c r="M15" i="2" s="1"/>
  <c r="N15" i="2" s="1"/>
  <c r="O15" i="2" s="1"/>
  <c r="P15" i="2" s="1"/>
  <c r="Q15" i="2" s="1"/>
  <c r="R15" i="2" s="1"/>
  <c r="S15" i="2" s="1"/>
  <c r="T15" i="2" s="1"/>
  <c r="U15" i="2" s="1"/>
  <c r="V15" i="2" s="1"/>
  <c r="W15" i="2" s="1"/>
  <c r="X15" i="2" s="1"/>
  <c r="Y15" i="2" s="1"/>
  <c r="Z15" i="2" s="1"/>
  <c r="AA15" i="2" s="1"/>
  <c r="AB15" i="2" s="1"/>
  <c r="E40" i="19" l="1"/>
  <c r="E38" i="19"/>
  <c r="E41" i="19"/>
  <c r="E42" i="19"/>
  <c r="K42" i="19"/>
  <c r="K41" i="19"/>
  <c r="K40" i="19"/>
  <c r="K39" i="19"/>
  <c r="K38" i="19"/>
  <c r="Q42" i="19"/>
  <c r="Q38" i="19"/>
  <c r="Q40" i="19"/>
  <c r="Q41" i="19"/>
  <c r="Q39" i="19"/>
  <c r="O13" i="4"/>
  <c r="N16" i="4"/>
  <c r="M38" i="3"/>
  <c r="L55" i="3"/>
  <c r="F45" i="18"/>
  <c r="I39" i="18"/>
  <c r="E19" i="21" s="1"/>
  <c r="I40" i="18"/>
  <c r="E20" i="21" s="1"/>
  <c r="F46" i="18"/>
  <c r="N33" i="2"/>
  <c r="M36" i="2"/>
  <c r="N13" i="2"/>
  <c r="M16" i="2"/>
  <c r="X64" i="3"/>
  <c r="O64" i="3"/>
  <c r="Y64" i="3"/>
  <c r="Z64" i="3"/>
  <c r="P64" i="3"/>
  <c r="P81" i="3" s="1"/>
  <c r="Q64" i="3"/>
  <c r="AA64" i="3"/>
  <c r="R64" i="3"/>
  <c r="AB64" i="3"/>
  <c r="T64" i="3"/>
  <c r="S64" i="3"/>
  <c r="M64" i="3"/>
  <c r="U64" i="3"/>
  <c r="V64" i="3"/>
  <c r="W64" i="3"/>
  <c r="N64" i="3"/>
  <c r="L7" i="4"/>
  <c r="L12" i="4" s="1"/>
  <c r="L29" i="4" s="1"/>
  <c r="L7" i="3"/>
  <c r="U2" i="7"/>
  <c r="U2" i="19"/>
  <c r="U2" i="6"/>
  <c r="U2" i="3"/>
  <c r="U2" i="13"/>
  <c r="U2" i="4"/>
  <c r="U2" i="8"/>
  <c r="U2" i="2"/>
  <c r="P14" i="6"/>
  <c r="O15" i="6"/>
  <c r="O19" i="6" s="1"/>
  <c r="N15" i="8"/>
  <c r="M19" i="8"/>
  <c r="H20" i="20"/>
  <c r="J20" i="20" s="1"/>
  <c r="L20" i="20" s="1"/>
  <c r="I20" i="20"/>
  <c r="K20" i="20" s="1"/>
  <c r="M20" i="20" s="1"/>
  <c r="F22" i="20"/>
  <c r="G21" i="20"/>
  <c r="W37" i="7"/>
  <c r="W44" i="7"/>
  <c r="W56" i="7"/>
  <c r="W63" i="7"/>
  <c r="W32" i="7"/>
  <c r="W39" i="7"/>
  <c r="W51" i="7"/>
  <c r="W58" i="7"/>
  <c r="W34" i="7"/>
  <c r="W46" i="7"/>
  <c r="W53" i="7"/>
  <c r="W65" i="7"/>
  <c r="W29" i="7"/>
  <c r="W41" i="7"/>
  <c r="W48" i="7"/>
  <c r="W60" i="7"/>
  <c r="W36" i="7"/>
  <c r="W43" i="7"/>
  <c r="W55" i="7"/>
  <c r="W67" i="7"/>
  <c r="W31" i="7"/>
  <c r="W38" i="7"/>
  <c r="W50" i="7"/>
  <c r="W33" i="7"/>
  <c r="W45" i="7"/>
  <c r="W28" i="7"/>
  <c r="W40" i="7"/>
  <c r="W30" i="7"/>
  <c r="W42" i="7"/>
  <c r="W49" i="7"/>
  <c r="W61" i="7"/>
  <c r="W57" i="7"/>
  <c r="W54" i="7"/>
  <c r="W66" i="7"/>
  <c r="W59" i="7"/>
  <c r="W62" i="7"/>
  <c r="W52" i="7"/>
  <c r="W64" i="7"/>
  <c r="W35" i="7"/>
  <c r="W47" i="7"/>
  <c r="Y16" i="7"/>
  <c r="X19" i="7"/>
  <c r="Y8" i="7"/>
  <c r="X15" i="7"/>
  <c r="L28" i="4"/>
  <c r="U11" i="4"/>
  <c r="U28" i="4" s="1"/>
  <c r="M11" i="4"/>
  <c r="M28" i="4" s="1"/>
  <c r="V11" i="4"/>
  <c r="V28" i="4" s="1"/>
  <c r="X11" i="4"/>
  <c r="X28" i="4" s="1"/>
  <c r="Z11" i="4"/>
  <c r="Z28" i="4" s="1"/>
  <c r="W11" i="4"/>
  <c r="W28" i="4" s="1"/>
  <c r="N11" i="4"/>
  <c r="N28" i="4" s="1"/>
  <c r="O11" i="4"/>
  <c r="O28" i="4" s="1"/>
  <c r="Y11" i="4"/>
  <c r="Y28" i="4" s="1"/>
  <c r="P11" i="4"/>
  <c r="P28" i="4" s="1"/>
  <c r="T11" i="4"/>
  <c r="T28" i="4" s="1"/>
  <c r="Q11" i="4"/>
  <c r="Q28" i="4" s="1"/>
  <c r="AA11" i="4"/>
  <c r="AA28" i="4" s="1"/>
  <c r="AB11" i="4"/>
  <c r="AB28" i="4" s="1"/>
  <c r="S11" i="4"/>
  <c r="S28" i="4" s="1"/>
  <c r="R11" i="4"/>
  <c r="R28" i="4" s="1"/>
  <c r="P31" i="2"/>
  <c r="Z31" i="2"/>
  <c r="M31" i="2"/>
  <c r="W31" i="2"/>
  <c r="Q31" i="2"/>
  <c r="AA31" i="2"/>
  <c r="R31" i="2"/>
  <c r="AB31" i="2"/>
  <c r="S31" i="2"/>
  <c r="T31" i="2"/>
  <c r="U31" i="2"/>
  <c r="N31" i="2"/>
  <c r="X31" i="2"/>
  <c r="O31" i="2"/>
  <c r="Y31" i="2"/>
  <c r="V31" i="2"/>
  <c r="P30" i="2"/>
  <c r="Z30" i="2"/>
  <c r="Q30" i="2"/>
  <c r="AA30" i="2"/>
  <c r="U30" i="2"/>
  <c r="R30" i="2"/>
  <c r="AB30" i="2"/>
  <c r="S30" i="2"/>
  <c r="T30" i="2"/>
  <c r="X30" i="2"/>
  <c r="V30" i="2"/>
  <c r="W30" i="2"/>
  <c r="N30" i="2"/>
  <c r="O30" i="2"/>
  <c r="Y30" i="2"/>
  <c r="M30" i="2"/>
  <c r="N11" i="2"/>
  <c r="X11" i="2"/>
  <c r="O11" i="2"/>
  <c r="Y11" i="2"/>
  <c r="P11" i="2"/>
  <c r="Z11" i="2"/>
  <c r="S11" i="2"/>
  <c r="Q11" i="2"/>
  <c r="AA11" i="2"/>
  <c r="R11" i="2"/>
  <c r="AB11" i="2"/>
  <c r="M11" i="2"/>
  <c r="T11" i="2"/>
  <c r="U11" i="2"/>
  <c r="V11" i="2"/>
  <c r="W11" i="2"/>
  <c r="N10" i="2"/>
  <c r="X10" i="2"/>
  <c r="AA10" i="2"/>
  <c r="O10" i="2"/>
  <c r="Y10" i="2"/>
  <c r="M10" i="2"/>
  <c r="V10" i="2"/>
  <c r="P10" i="2"/>
  <c r="Z10" i="2"/>
  <c r="AB10" i="2"/>
  <c r="Q10" i="2"/>
  <c r="R10" i="2"/>
  <c r="S10" i="2"/>
  <c r="T10" i="2"/>
  <c r="U10" i="2"/>
  <c r="W10" i="2"/>
  <c r="V37" i="3"/>
  <c r="W37" i="3"/>
  <c r="N37" i="3"/>
  <c r="N54" i="3" s="1"/>
  <c r="X37" i="3"/>
  <c r="O37" i="3"/>
  <c r="Y37" i="3"/>
  <c r="Z37" i="3"/>
  <c r="P37" i="3"/>
  <c r="Q37" i="3"/>
  <c r="R37" i="3"/>
  <c r="AB37" i="3"/>
  <c r="AA37" i="3"/>
  <c r="S37" i="3"/>
  <c r="M37" i="3"/>
  <c r="M54" i="3" s="1"/>
  <c r="U37" i="3"/>
  <c r="T37" i="3"/>
  <c r="N29" i="3"/>
  <c r="O12" i="3"/>
  <c r="W10" i="4"/>
  <c r="N10" i="4"/>
  <c r="O10" i="4"/>
  <c r="Y10" i="4"/>
  <c r="Z10" i="4"/>
  <c r="S10" i="4"/>
  <c r="P10" i="4"/>
  <c r="Q10" i="4"/>
  <c r="AA10" i="4"/>
  <c r="R10" i="4"/>
  <c r="AB10" i="4"/>
  <c r="T10" i="4"/>
  <c r="U10" i="4"/>
  <c r="V10" i="4"/>
  <c r="X10" i="4"/>
  <c r="M5" i="19"/>
  <c r="M21" i="19" s="1"/>
  <c r="M5" i="2"/>
  <c r="N30" i="4"/>
  <c r="O30" i="4"/>
  <c r="U31" i="4"/>
  <c r="Q30" i="4"/>
  <c r="L27" i="4"/>
  <c r="M10" i="4"/>
  <c r="L16" i="2"/>
  <c r="L17" i="2" s="1"/>
  <c r="M5" i="3"/>
  <c r="M5" i="4"/>
  <c r="O16" i="13"/>
  <c r="N10" i="13"/>
  <c r="N17" i="13" s="1"/>
  <c r="N21" i="13" s="1"/>
  <c r="N65" i="3"/>
  <c r="M82" i="3"/>
  <c r="E43" i="6"/>
  <c r="D43" i="6"/>
  <c r="F43" i="6" s="1"/>
  <c r="C44" i="6"/>
  <c r="L54" i="3"/>
  <c r="Q12" i="13"/>
  <c r="L69" i="3"/>
  <c r="M69" i="3" s="1"/>
  <c r="N69" i="3" s="1"/>
  <c r="O69" i="3" s="1"/>
  <c r="P69" i="3" s="1"/>
  <c r="Q69" i="3" s="1"/>
  <c r="R69" i="3" s="1"/>
  <c r="S69" i="3" s="1"/>
  <c r="T69" i="3" s="1"/>
  <c r="U69" i="3" s="1"/>
  <c r="V69" i="3" s="1"/>
  <c r="W69" i="3" s="1"/>
  <c r="X69" i="3" s="1"/>
  <c r="Y69" i="3" s="1"/>
  <c r="Z69" i="3" s="1"/>
  <c r="AA69" i="3" s="1"/>
  <c r="AB69" i="3" s="1"/>
  <c r="L42" i="3"/>
  <c r="L46" i="3"/>
  <c r="L56" i="3"/>
  <c r="L83" i="3"/>
  <c r="L30" i="3"/>
  <c r="L57" i="3"/>
  <c r="N56" i="3"/>
  <c r="N57" i="3"/>
  <c r="N83" i="3"/>
  <c r="N46" i="3"/>
  <c r="N30" i="3"/>
  <c r="L11" i="3"/>
  <c r="G14" i="3"/>
  <c r="M56" i="3"/>
  <c r="M57" i="3"/>
  <c r="M83" i="3"/>
  <c r="M46" i="3"/>
  <c r="M30" i="3"/>
  <c r="L81" i="3"/>
  <c r="O56" i="3"/>
  <c r="O57" i="3"/>
  <c r="O46" i="3"/>
  <c r="O30" i="3"/>
  <c r="O83" i="3"/>
  <c r="L36" i="2"/>
  <c r="L37" i="2" s="1"/>
  <c r="L41" i="2" s="1"/>
  <c r="L44" i="2" s="1"/>
  <c r="V51" i="2" s="1"/>
  <c r="L16" i="3"/>
  <c r="L17" i="4" l="1"/>
  <c r="L21" i="4" s="1"/>
  <c r="L26" i="4" s="1"/>
  <c r="C45" i="4" s="1"/>
  <c r="P13" i="4"/>
  <c r="O16" i="4"/>
  <c r="N38" i="3"/>
  <c r="M55" i="3"/>
  <c r="F52" i="18"/>
  <c r="I52" i="18" s="1"/>
  <c r="M20" i="21" s="1"/>
  <c r="I46" i="18"/>
  <c r="I20" i="21" s="1"/>
  <c r="E23" i="21"/>
  <c r="E30" i="21" s="1"/>
  <c r="E25" i="21"/>
  <c r="E32" i="21" s="1"/>
  <c r="F51" i="18"/>
  <c r="I51" i="18" s="1"/>
  <c r="M19" i="21" s="1"/>
  <c r="I45" i="18"/>
  <c r="I19" i="21" s="1"/>
  <c r="X53" i="2"/>
  <c r="X56" i="2"/>
  <c r="X55" i="2"/>
  <c r="X52" i="2"/>
  <c r="X54" i="2"/>
  <c r="D51" i="2"/>
  <c r="F54" i="2" s="1"/>
  <c r="P51" i="2"/>
  <c r="J51" i="2"/>
  <c r="M17" i="2"/>
  <c r="M21" i="2" s="1"/>
  <c r="M24" i="2" s="1"/>
  <c r="O13" i="2"/>
  <c r="N16" i="2"/>
  <c r="N17" i="2" s="1"/>
  <c r="N21" i="2" s="1"/>
  <c r="H12" i="18" s="1"/>
  <c r="O33" i="2"/>
  <c r="N36" i="2"/>
  <c r="N37" i="2" s="1"/>
  <c r="O15" i="8"/>
  <c r="N19" i="8"/>
  <c r="M7" i="4"/>
  <c r="M12" i="4" s="1"/>
  <c r="M29" i="4" s="1"/>
  <c r="M7" i="3"/>
  <c r="V2" i="7"/>
  <c r="V2" i="19"/>
  <c r="V2" i="3"/>
  <c r="V2" i="13"/>
  <c r="V2" i="6"/>
  <c r="V2" i="2"/>
  <c r="V2" i="4"/>
  <c r="V2" i="8"/>
  <c r="Q14" i="6"/>
  <c r="P15" i="6"/>
  <c r="P19" i="6" s="1"/>
  <c r="H21" i="20"/>
  <c r="J21" i="20" s="1"/>
  <c r="L21" i="20" s="1"/>
  <c r="I21" i="20"/>
  <c r="K21" i="20" s="1"/>
  <c r="M21" i="20" s="1"/>
  <c r="F23" i="20"/>
  <c r="G23" i="20" s="1"/>
  <c r="G22" i="20"/>
  <c r="X30" i="7"/>
  <c r="X42" i="7"/>
  <c r="X49" i="7"/>
  <c r="X61" i="7"/>
  <c r="X37" i="7"/>
  <c r="X44" i="7"/>
  <c r="X56" i="7"/>
  <c r="X63" i="7"/>
  <c r="X32" i="7"/>
  <c r="X39" i="7"/>
  <c r="X51" i="7"/>
  <c r="X58" i="7"/>
  <c r="X34" i="7"/>
  <c r="X46" i="7"/>
  <c r="X53" i="7"/>
  <c r="X65" i="7"/>
  <c r="X29" i="7"/>
  <c r="X41" i="7"/>
  <c r="X48" i="7"/>
  <c r="X60" i="7"/>
  <c r="X36" i="7"/>
  <c r="X43" i="7"/>
  <c r="X55" i="7"/>
  <c r="X31" i="7"/>
  <c r="X38" i="7"/>
  <c r="X33" i="7"/>
  <c r="X45" i="7"/>
  <c r="X35" i="7"/>
  <c r="X47" i="7"/>
  <c r="X54" i="7"/>
  <c r="X66" i="7"/>
  <c r="X40" i="7"/>
  <c r="X50" i="7"/>
  <c r="X57" i="7"/>
  <c r="X59" i="7"/>
  <c r="X64" i="7"/>
  <c r="X67" i="7"/>
  <c r="X28" i="7"/>
  <c r="X62" i="7"/>
  <c r="X52" i="7"/>
  <c r="Z16" i="7"/>
  <c r="Y19" i="7"/>
  <c r="Z8" i="7"/>
  <c r="Y15" i="7"/>
  <c r="M37" i="2"/>
  <c r="M41" i="2" s="1"/>
  <c r="M44" i="2" s="1"/>
  <c r="N11" i="3"/>
  <c r="X11" i="3"/>
  <c r="O11" i="3"/>
  <c r="Y11" i="3"/>
  <c r="P11" i="3"/>
  <c r="Z11" i="3"/>
  <c r="R11" i="3"/>
  <c r="AB11" i="3"/>
  <c r="Q11" i="3"/>
  <c r="AA11" i="3"/>
  <c r="T11" i="3"/>
  <c r="V11" i="3"/>
  <c r="M11" i="3"/>
  <c r="M28" i="3" s="1"/>
  <c r="S11" i="3"/>
  <c r="U11" i="3"/>
  <c r="W11" i="3"/>
  <c r="P12" i="3"/>
  <c r="O29" i="3"/>
  <c r="N5" i="19"/>
  <c r="N21" i="19" s="1"/>
  <c r="N5" i="2"/>
  <c r="R27" i="4"/>
  <c r="Z27" i="4"/>
  <c r="S27" i="4"/>
  <c r="L21" i="2"/>
  <c r="L24" i="2" s="1"/>
  <c r="U51" i="2" s="1"/>
  <c r="E12" i="18"/>
  <c r="X27" i="4"/>
  <c r="AA27" i="4"/>
  <c r="P27" i="4"/>
  <c r="O27" i="4"/>
  <c r="T27" i="4"/>
  <c r="N27" i="4"/>
  <c r="Q27" i="4"/>
  <c r="V27" i="4"/>
  <c r="Y27" i="4"/>
  <c r="U27" i="4"/>
  <c r="AB27" i="4"/>
  <c r="W27" i="4"/>
  <c r="M17" i="4"/>
  <c r="M21" i="4" s="1"/>
  <c r="M26" i="4" s="1"/>
  <c r="M27" i="4"/>
  <c r="V31" i="4"/>
  <c r="R30" i="4"/>
  <c r="N5" i="3"/>
  <c r="N19" i="3" s="1"/>
  <c r="N31" i="3" s="1"/>
  <c r="N5" i="4"/>
  <c r="P16" i="13"/>
  <c r="O10" i="13"/>
  <c r="O17" i="13" s="1"/>
  <c r="O21" i="13" s="1"/>
  <c r="Q81" i="3"/>
  <c r="O65" i="3"/>
  <c r="N82" i="3"/>
  <c r="P54" i="3"/>
  <c r="L28" i="3"/>
  <c r="D44" i="6"/>
  <c r="C45" i="6"/>
  <c r="F44" i="6"/>
  <c r="E44" i="6"/>
  <c r="L84" i="3"/>
  <c r="L19" i="3"/>
  <c r="L31" i="3" s="1"/>
  <c r="N84" i="3"/>
  <c r="M42" i="3"/>
  <c r="N42" i="3" s="1"/>
  <c r="O42" i="3" s="1"/>
  <c r="P42" i="3" s="1"/>
  <c r="Q42" i="3" s="1"/>
  <c r="R42" i="3" s="1"/>
  <c r="S42" i="3" s="1"/>
  <c r="T42" i="3" s="1"/>
  <c r="U42" i="3" s="1"/>
  <c r="V42" i="3" s="1"/>
  <c r="W42" i="3" s="1"/>
  <c r="X42" i="3" s="1"/>
  <c r="Y42" i="3" s="1"/>
  <c r="Z42" i="3" s="1"/>
  <c r="AA42" i="3" s="1"/>
  <c r="AB42" i="3" s="1"/>
  <c r="L36" i="3"/>
  <c r="M81" i="3"/>
  <c r="M16" i="3"/>
  <c r="N16" i="3" s="1"/>
  <c r="O16" i="3" s="1"/>
  <c r="P16" i="3" s="1"/>
  <c r="Q16" i="3" s="1"/>
  <c r="R16" i="3" s="1"/>
  <c r="S16" i="3" s="1"/>
  <c r="T16" i="3" s="1"/>
  <c r="U16" i="3" s="1"/>
  <c r="V16" i="3" s="1"/>
  <c r="W16" i="3" s="1"/>
  <c r="X16" i="3" s="1"/>
  <c r="Y16" i="3" s="1"/>
  <c r="Z16" i="3" s="1"/>
  <c r="AA16" i="3" s="1"/>
  <c r="AB16" i="3" s="1"/>
  <c r="L10" i="3"/>
  <c r="M84" i="3"/>
  <c r="M19" i="3"/>
  <c r="M31" i="3" s="1"/>
  <c r="O84" i="3"/>
  <c r="L63" i="3"/>
  <c r="O54" i="3"/>
  <c r="I45" i="4" l="1"/>
  <c r="O45" i="4"/>
  <c r="U45" i="4"/>
  <c r="F56" i="2"/>
  <c r="K50" i="4"/>
  <c r="K47" i="4"/>
  <c r="K48" i="4"/>
  <c r="K46" i="4"/>
  <c r="K49" i="4"/>
  <c r="E46" i="4"/>
  <c r="E48" i="4"/>
  <c r="E50" i="4"/>
  <c r="E47" i="4"/>
  <c r="E49" i="4"/>
  <c r="Q13" i="4"/>
  <c r="P16" i="4"/>
  <c r="O38" i="3"/>
  <c r="N55" i="3"/>
  <c r="M25" i="21"/>
  <c r="M23" i="21"/>
  <c r="I23" i="21"/>
  <c r="I25" i="21"/>
  <c r="W56" i="2"/>
  <c r="W55" i="2"/>
  <c r="W54" i="2"/>
  <c r="W53" i="2"/>
  <c r="W52" i="2"/>
  <c r="F53" i="2"/>
  <c r="F52" i="2"/>
  <c r="F55" i="2"/>
  <c r="O51" i="2"/>
  <c r="I51" i="2"/>
  <c r="L56" i="2"/>
  <c r="L55" i="2"/>
  <c r="L54" i="2"/>
  <c r="L53" i="2"/>
  <c r="L52" i="2"/>
  <c r="R52" i="2"/>
  <c r="R56" i="2"/>
  <c r="R55" i="2"/>
  <c r="R54" i="2"/>
  <c r="R53" i="2"/>
  <c r="N41" i="2"/>
  <c r="H13" i="18" s="1"/>
  <c r="E13" i="18"/>
  <c r="P33" i="2"/>
  <c r="O36" i="2"/>
  <c r="O37" i="2" s="1"/>
  <c r="O41" i="2" s="1"/>
  <c r="F12" i="18"/>
  <c r="P13" i="2"/>
  <c r="O16" i="2"/>
  <c r="O17" i="2" s="1"/>
  <c r="O21" i="2" s="1"/>
  <c r="C51" i="2"/>
  <c r="C3" i="23"/>
  <c r="W2" i="7"/>
  <c r="W2" i="19"/>
  <c r="W2" i="6"/>
  <c r="W2" i="4"/>
  <c r="W2" i="13"/>
  <c r="W2" i="3"/>
  <c r="W2" i="8"/>
  <c r="W2" i="2"/>
  <c r="R14" i="6"/>
  <c r="Q15" i="6"/>
  <c r="Q19" i="6" s="1"/>
  <c r="N7" i="4"/>
  <c r="N12" i="4" s="1"/>
  <c r="N7" i="3"/>
  <c r="P15" i="8"/>
  <c r="O19" i="8"/>
  <c r="H22" i="20"/>
  <c r="J22" i="20" s="1"/>
  <c r="L22" i="20" s="1"/>
  <c r="I22" i="20"/>
  <c r="K22" i="20" s="1"/>
  <c r="M22" i="20" s="1"/>
  <c r="H23" i="20"/>
  <c r="J23" i="20" s="1"/>
  <c r="L23" i="20" s="1"/>
  <c r="I23" i="20"/>
  <c r="K23" i="20" s="1"/>
  <c r="M23" i="20" s="1"/>
  <c r="Y35" i="7"/>
  <c r="Y47" i="7"/>
  <c r="Y54" i="7"/>
  <c r="Y66" i="7"/>
  <c r="Y30" i="7"/>
  <c r="Y42" i="7"/>
  <c r="Y49" i="7"/>
  <c r="Y61" i="7"/>
  <c r="Y37" i="7"/>
  <c r="Y44" i="7"/>
  <c r="Y56" i="7"/>
  <c r="Y63" i="7"/>
  <c r="Y32" i="7"/>
  <c r="Y39" i="7"/>
  <c r="Y51" i="7"/>
  <c r="Y58" i="7"/>
  <c r="Y41" i="7"/>
  <c r="Y34" i="7"/>
  <c r="Y46" i="7"/>
  <c r="Y53" i="7"/>
  <c r="Y65" i="7"/>
  <c r="Y29" i="7"/>
  <c r="Y48" i="7"/>
  <c r="Y36" i="7"/>
  <c r="Y43" i="7"/>
  <c r="Y31" i="7"/>
  <c r="Y38" i="7"/>
  <c r="Y28" i="7"/>
  <c r="Y40" i="7"/>
  <c r="Y52" i="7"/>
  <c r="Y59" i="7"/>
  <c r="Y33" i="7"/>
  <c r="Y55" i="7"/>
  <c r="Y60" i="7"/>
  <c r="Y45" i="7"/>
  <c r="Y50" i="7"/>
  <c r="Y57" i="7"/>
  <c r="Y62" i="7"/>
  <c r="Y64" i="7"/>
  <c r="Y67" i="7"/>
  <c r="AA16" i="7"/>
  <c r="Z19" i="7"/>
  <c r="AA8" i="7"/>
  <c r="Z15" i="7"/>
  <c r="Q12" i="3"/>
  <c r="P29" i="3"/>
  <c r="O5" i="19"/>
  <c r="O21" i="19" s="1"/>
  <c r="O5" i="2"/>
  <c r="V36" i="3"/>
  <c r="N36" i="3"/>
  <c r="O36" i="3"/>
  <c r="Q36" i="3"/>
  <c r="AA36" i="3"/>
  <c r="AB36" i="3"/>
  <c r="S36" i="3"/>
  <c r="T36" i="3"/>
  <c r="W36" i="3"/>
  <c r="X36" i="3"/>
  <c r="Y36" i="3"/>
  <c r="P36" i="3"/>
  <c r="Z36" i="3"/>
  <c r="R36" i="3"/>
  <c r="M36" i="3"/>
  <c r="U36" i="3"/>
  <c r="L17" i="3"/>
  <c r="L21" i="3" s="1"/>
  <c r="L26" i="3" s="1"/>
  <c r="R10" i="3"/>
  <c r="AB10" i="3"/>
  <c r="M10" i="3"/>
  <c r="T10" i="3"/>
  <c r="V10" i="3"/>
  <c r="X10" i="3"/>
  <c r="O10" i="3"/>
  <c r="P10" i="3"/>
  <c r="Q10" i="3"/>
  <c r="S10" i="3"/>
  <c r="U10" i="3"/>
  <c r="W10" i="3"/>
  <c r="N10" i="3"/>
  <c r="Y10" i="3"/>
  <c r="Z10" i="3"/>
  <c r="AA10" i="3"/>
  <c r="N63" i="3"/>
  <c r="X63" i="3"/>
  <c r="P63" i="3"/>
  <c r="Z63" i="3"/>
  <c r="AA63" i="3"/>
  <c r="R63" i="3"/>
  <c r="M63" i="3"/>
  <c r="M70" i="3" s="1"/>
  <c r="T63" i="3"/>
  <c r="O63" i="3"/>
  <c r="Y63" i="3"/>
  <c r="Q63" i="3"/>
  <c r="AB63" i="3"/>
  <c r="S63" i="3"/>
  <c r="U63" i="3"/>
  <c r="V63" i="3"/>
  <c r="W63" i="3"/>
  <c r="N24" i="2"/>
  <c r="I12" i="18" s="1"/>
  <c r="W31" i="4"/>
  <c r="S30" i="4"/>
  <c r="O5" i="3"/>
  <c r="O19" i="3" s="1"/>
  <c r="O31" i="3" s="1"/>
  <c r="O5" i="4"/>
  <c r="Q16" i="13"/>
  <c r="R16" i="13" s="1"/>
  <c r="P10" i="13"/>
  <c r="R81" i="3"/>
  <c r="P65" i="3"/>
  <c r="O82" i="3"/>
  <c r="Q54" i="3"/>
  <c r="D45" i="6"/>
  <c r="E45" i="6"/>
  <c r="C46" i="6"/>
  <c r="F45" i="6"/>
  <c r="L70" i="3"/>
  <c r="L74" i="3" s="1"/>
  <c r="L79" i="3" s="1"/>
  <c r="L80" i="3"/>
  <c r="N81" i="3"/>
  <c r="O81" i="3"/>
  <c r="L53" i="3"/>
  <c r="L43" i="3"/>
  <c r="L47" i="3" s="1"/>
  <c r="L52" i="3" s="1"/>
  <c r="L27" i="3"/>
  <c r="N28" i="3"/>
  <c r="W50" i="4" l="1"/>
  <c r="W48" i="4"/>
  <c r="W47" i="4"/>
  <c r="W46" i="4"/>
  <c r="W49" i="4"/>
  <c r="Q50" i="4"/>
  <c r="Q47" i="4"/>
  <c r="Q46" i="4"/>
  <c r="Q49" i="4"/>
  <c r="Q48" i="4"/>
  <c r="Q16" i="4"/>
  <c r="R13" i="4"/>
  <c r="AG92" i="3"/>
  <c r="AI96" i="3" s="1"/>
  <c r="U92" i="3"/>
  <c r="P38" i="3"/>
  <c r="O55" i="3"/>
  <c r="O92" i="3"/>
  <c r="AA92" i="3"/>
  <c r="C92" i="3"/>
  <c r="E95" i="3" s="1"/>
  <c r="I92" i="3"/>
  <c r="F44" i="21"/>
  <c r="I32" i="21"/>
  <c r="F46" i="21" s="1"/>
  <c r="I30" i="21"/>
  <c r="F47" i="21" s="1"/>
  <c r="F45" i="21"/>
  <c r="G45" i="21"/>
  <c r="M30" i="21"/>
  <c r="G47" i="21" s="1"/>
  <c r="M32" i="21"/>
  <c r="G46" i="21" s="1"/>
  <c r="G44" i="21"/>
  <c r="K53" i="2"/>
  <c r="K52" i="2"/>
  <c r="K56" i="2"/>
  <c r="K55" i="2"/>
  <c r="K54" i="2"/>
  <c r="F13" i="18"/>
  <c r="Q53" i="2"/>
  <c r="Q52" i="2"/>
  <c r="Q56" i="2"/>
  <c r="Q55" i="2"/>
  <c r="Q54" i="2"/>
  <c r="N44" i="2"/>
  <c r="I13" i="18" s="1"/>
  <c r="E11" i="21" s="1"/>
  <c r="E53" i="2"/>
  <c r="E55" i="2"/>
  <c r="E56" i="2"/>
  <c r="E52" i="2"/>
  <c r="E54" i="2"/>
  <c r="Q33" i="2"/>
  <c r="P36" i="2"/>
  <c r="P37" i="2" s="1"/>
  <c r="P41" i="2" s="1"/>
  <c r="Q13" i="2"/>
  <c r="P16" i="2"/>
  <c r="P17" i="2" s="1"/>
  <c r="P21" i="2" s="1"/>
  <c r="N29" i="4"/>
  <c r="N17" i="4"/>
  <c r="O7" i="4"/>
  <c r="O12" i="4" s="1"/>
  <c r="O7" i="3"/>
  <c r="Q15" i="8"/>
  <c r="P19" i="8"/>
  <c r="X2" i="7"/>
  <c r="X2" i="19"/>
  <c r="X2" i="2"/>
  <c r="X2" i="6"/>
  <c r="X2" i="4"/>
  <c r="X2" i="8"/>
  <c r="X2" i="3"/>
  <c r="X2" i="13"/>
  <c r="G12" i="18"/>
  <c r="E10" i="21"/>
  <c r="S14" i="6"/>
  <c r="R15" i="6"/>
  <c r="R19" i="6" s="1"/>
  <c r="Z28" i="7"/>
  <c r="Z40" i="7"/>
  <c r="Z52" i="7"/>
  <c r="Z59" i="7"/>
  <c r="Z35" i="7"/>
  <c r="Z47" i="7"/>
  <c r="Z54" i="7"/>
  <c r="Z66" i="7"/>
  <c r="Z30" i="7"/>
  <c r="Z42" i="7"/>
  <c r="Z49" i="7"/>
  <c r="Z61" i="7"/>
  <c r="Z37" i="7"/>
  <c r="Z44" i="7"/>
  <c r="Z56" i="7"/>
  <c r="Z63" i="7"/>
  <c r="Z53" i="7"/>
  <c r="Z32" i="7"/>
  <c r="Z39" i="7"/>
  <c r="Z51" i="7"/>
  <c r="Z58" i="7"/>
  <c r="Z34" i="7"/>
  <c r="Z46" i="7"/>
  <c r="Z29" i="7"/>
  <c r="Z41" i="7"/>
  <c r="Z36" i="7"/>
  <c r="Z43" i="7"/>
  <c r="Z33" i="7"/>
  <c r="Z45" i="7"/>
  <c r="Z57" i="7"/>
  <c r="Z64" i="7"/>
  <c r="Z67" i="7"/>
  <c r="Z48" i="7"/>
  <c r="Z55" i="7"/>
  <c r="Z60" i="7"/>
  <c r="Z38" i="7"/>
  <c r="Z50" i="7"/>
  <c r="Z65" i="7"/>
  <c r="Z62" i="7"/>
  <c r="Z31" i="7"/>
  <c r="AB16" i="7"/>
  <c r="AB19" i="7" s="1"/>
  <c r="AA19" i="7"/>
  <c r="AA15" i="7"/>
  <c r="AB8" i="7"/>
  <c r="AB15" i="7" s="1"/>
  <c r="R12" i="3"/>
  <c r="Q29" i="3"/>
  <c r="O24" i="2"/>
  <c r="O44" i="2"/>
  <c r="X31" i="4"/>
  <c r="T30" i="4"/>
  <c r="P11" i="13"/>
  <c r="Q11" i="13" s="1"/>
  <c r="Q10" i="13"/>
  <c r="Q17" i="13" s="1"/>
  <c r="Q21" i="13" s="1"/>
  <c r="S16" i="13"/>
  <c r="T16" i="13" s="1"/>
  <c r="U16" i="13" s="1"/>
  <c r="V16" i="13" s="1"/>
  <c r="W16" i="13" s="1"/>
  <c r="X16" i="13" s="1"/>
  <c r="Y16" i="13" s="1"/>
  <c r="Z16" i="13" s="1"/>
  <c r="AA16" i="13" s="1"/>
  <c r="AB16" i="13" s="1"/>
  <c r="R10" i="13"/>
  <c r="S81" i="3"/>
  <c r="N70" i="3"/>
  <c r="E16" i="18" s="1"/>
  <c r="Q65" i="3"/>
  <c r="P82" i="3"/>
  <c r="R54" i="3"/>
  <c r="P28" i="3"/>
  <c r="C47" i="6"/>
  <c r="D46" i="6"/>
  <c r="F46" i="6" s="1"/>
  <c r="E46" i="6"/>
  <c r="M27" i="3"/>
  <c r="M17" i="3"/>
  <c r="M21" i="3" s="1"/>
  <c r="M26" i="3" s="1"/>
  <c r="M53" i="3"/>
  <c r="M43" i="3"/>
  <c r="M47" i="3" s="1"/>
  <c r="M52" i="3" s="1"/>
  <c r="M80" i="3"/>
  <c r="M74" i="3"/>
  <c r="M79" i="3" s="1"/>
  <c r="O28" i="3"/>
  <c r="E94" i="3" l="1"/>
  <c r="S13" i="4"/>
  <c r="R16" i="4"/>
  <c r="W94" i="3"/>
  <c r="W95" i="3"/>
  <c r="W97" i="3"/>
  <c r="W93" i="3"/>
  <c r="W96" i="3"/>
  <c r="AI95" i="3"/>
  <c r="AI93" i="3"/>
  <c r="AI94" i="3"/>
  <c r="AI97" i="3"/>
  <c r="Q38" i="3"/>
  <c r="P55" i="3"/>
  <c r="E93" i="3"/>
  <c r="E96" i="3"/>
  <c r="E97" i="3"/>
  <c r="G13" i="18"/>
  <c r="R13" i="2"/>
  <c r="Q16" i="2"/>
  <c r="Q17" i="2" s="1"/>
  <c r="Q21" i="2" s="1"/>
  <c r="R33" i="2"/>
  <c r="Q36" i="2"/>
  <c r="Q37" i="2" s="1"/>
  <c r="Q41" i="2" s="1"/>
  <c r="N21" i="4"/>
  <c r="E17" i="18"/>
  <c r="O29" i="4"/>
  <c r="O17" i="4"/>
  <c r="O21" i="4" s="1"/>
  <c r="O26" i="4" s="1"/>
  <c r="T14" i="6"/>
  <c r="S15" i="6"/>
  <c r="S19" i="6" s="1"/>
  <c r="Y2" i="7"/>
  <c r="Y2" i="19"/>
  <c r="Y2" i="2"/>
  <c r="Y2" i="3"/>
  <c r="Y2" i="6"/>
  <c r="Y2" i="8"/>
  <c r="Y2" i="13"/>
  <c r="Y2" i="4"/>
  <c r="R15" i="8"/>
  <c r="Q19" i="8"/>
  <c r="P7" i="3"/>
  <c r="P7" i="4"/>
  <c r="P12" i="4" s="1"/>
  <c r="AA33" i="7"/>
  <c r="AA45" i="7"/>
  <c r="AA57" i="7"/>
  <c r="AA64" i="7"/>
  <c r="AA28" i="7"/>
  <c r="AA40" i="7"/>
  <c r="AA52" i="7"/>
  <c r="AA59" i="7"/>
  <c r="AA35" i="7"/>
  <c r="AA47" i="7"/>
  <c r="AA54" i="7"/>
  <c r="AA66" i="7"/>
  <c r="AA58" i="7"/>
  <c r="AA30" i="7"/>
  <c r="AA42" i="7"/>
  <c r="AA49" i="7"/>
  <c r="AA61" i="7"/>
  <c r="AA37" i="7"/>
  <c r="AA44" i="7"/>
  <c r="AA56" i="7"/>
  <c r="AA63" i="7"/>
  <c r="AA32" i="7"/>
  <c r="AA39" i="7"/>
  <c r="AA34" i="7"/>
  <c r="AA46" i="7"/>
  <c r="AA29" i="7"/>
  <c r="AA41" i="7"/>
  <c r="AA31" i="7"/>
  <c r="AA38" i="7"/>
  <c r="AA50" i="7"/>
  <c r="AA62" i="7"/>
  <c r="AA36" i="7"/>
  <c r="AA51" i="7"/>
  <c r="AA53" i="7"/>
  <c r="AA67" i="7"/>
  <c r="AA48" i="7"/>
  <c r="AA55" i="7"/>
  <c r="AA60" i="7"/>
  <c r="AA43" i="7"/>
  <c r="AA65" i="7"/>
  <c r="AB31" i="7"/>
  <c r="AB38" i="7"/>
  <c r="AB50" i="7"/>
  <c r="AB62" i="7"/>
  <c r="AB56" i="7"/>
  <c r="AB33" i="7"/>
  <c r="AB45" i="7"/>
  <c r="AB57" i="7"/>
  <c r="AB64" i="7"/>
  <c r="AB28" i="7"/>
  <c r="AB40" i="7"/>
  <c r="AB52" i="7"/>
  <c r="AB59" i="7"/>
  <c r="AB35" i="7"/>
  <c r="AB47" i="7"/>
  <c r="AB54" i="7"/>
  <c r="AB66" i="7"/>
  <c r="AB30" i="7"/>
  <c r="AB42" i="7"/>
  <c r="AB49" i="7"/>
  <c r="AB61" i="7"/>
  <c r="AB44" i="7"/>
  <c r="AB37" i="7"/>
  <c r="AB32" i="7"/>
  <c r="AB39" i="7"/>
  <c r="AB34" i="7"/>
  <c r="AB46" i="7"/>
  <c r="AB36" i="7"/>
  <c r="AB43" i="7"/>
  <c r="AB55" i="7"/>
  <c r="AB67" i="7"/>
  <c r="AB41" i="7"/>
  <c r="AB48" i="7"/>
  <c r="AB60" i="7"/>
  <c r="AB65" i="7"/>
  <c r="AB51" i="7"/>
  <c r="AB53" i="7"/>
  <c r="AB63" i="7"/>
  <c r="AB29" i="7"/>
  <c r="AB58" i="7"/>
  <c r="R29" i="3"/>
  <c r="S12" i="3"/>
  <c r="Q5" i="19"/>
  <c r="Q21" i="19" s="1"/>
  <c r="Q5" i="2"/>
  <c r="Y31" i="4"/>
  <c r="U30" i="4"/>
  <c r="R11" i="13"/>
  <c r="S11" i="13" s="1"/>
  <c r="T11" i="13" s="1"/>
  <c r="U11" i="13" s="1"/>
  <c r="V11" i="13" s="1"/>
  <c r="W11" i="13" s="1"/>
  <c r="X11" i="13" s="1"/>
  <c r="Y11" i="13" s="1"/>
  <c r="Z11" i="13" s="1"/>
  <c r="AA11" i="13" s="1"/>
  <c r="AB11" i="13" s="1"/>
  <c r="S10" i="13"/>
  <c r="Q5" i="3"/>
  <c r="Q19" i="3" s="1"/>
  <c r="Q31" i="3" s="1"/>
  <c r="Q5" i="4"/>
  <c r="P17" i="13"/>
  <c r="P21" i="13" s="1"/>
  <c r="O70" i="3"/>
  <c r="T81" i="3"/>
  <c r="Q82" i="3"/>
  <c r="R65" i="3"/>
  <c r="S54" i="3"/>
  <c r="Q28" i="3"/>
  <c r="E47" i="6"/>
  <c r="D47" i="6"/>
  <c r="F47" i="6" s="1"/>
  <c r="C48" i="6"/>
  <c r="N74" i="3"/>
  <c r="N80" i="3"/>
  <c r="N53" i="3"/>
  <c r="N43" i="3"/>
  <c r="N27" i="3"/>
  <c r="N17" i="3"/>
  <c r="T13" i="4" l="1"/>
  <c r="S16" i="4"/>
  <c r="R38" i="3"/>
  <c r="Q55" i="3"/>
  <c r="S33" i="2"/>
  <c r="R36" i="2"/>
  <c r="R37" i="2" s="1"/>
  <c r="S13" i="2"/>
  <c r="R16" i="2"/>
  <c r="R17" i="2" s="1"/>
  <c r="E18" i="18" s="1"/>
  <c r="P29" i="4"/>
  <c r="P17" i="4"/>
  <c r="P21" i="4" s="1"/>
  <c r="P26" i="4" s="1"/>
  <c r="R17" i="13"/>
  <c r="R21" i="13" s="1"/>
  <c r="R5" i="2" s="1"/>
  <c r="H17" i="18"/>
  <c r="N26" i="4"/>
  <c r="Q7" i="4"/>
  <c r="Q12" i="4" s="1"/>
  <c r="Q7" i="3"/>
  <c r="S15" i="8"/>
  <c r="R19" i="8"/>
  <c r="Z2" i="7"/>
  <c r="Z2" i="19"/>
  <c r="Z2" i="2"/>
  <c r="Z2" i="8"/>
  <c r="Z2" i="6"/>
  <c r="Z2" i="3"/>
  <c r="Z2" i="13"/>
  <c r="Z2" i="4"/>
  <c r="U14" i="6"/>
  <c r="T15" i="6"/>
  <c r="T19" i="6" s="1"/>
  <c r="T12" i="3"/>
  <c r="S29" i="3"/>
  <c r="R5" i="19"/>
  <c r="R21" i="19" s="1"/>
  <c r="N79" i="3"/>
  <c r="I16" i="18" s="1"/>
  <c r="E14" i="21" s="1"/>
  <c r="H16" i="18"/>
  <c r="F16" i="18" s="1"/>
  <c r="P5" i="19"/>
  <c r="P21" i="19" s="1"/>
  <c r="P5" i="2"/>
  <c r="N47" i="3"/>
  <c r="E15" i="18"/>
  <c r="N21" i="3"/>
  <c r="E14" i="18"/>
  <c r="Q44" i="2"/>
  <c r="Q24" i="2"/>
  <c r="Z31" i="4"/>
  <c r="V30" i="4"/>
  <c r="P5" i="3"/>
  <c r="P19" i="3" s="1"/>
  <c r="P31" i="3" s="1"/>
  <c r="P5" i="4"/>
  <c r="R5" i="3"/>
  <c r="R19" i="3" s="1"/>
  <c r="R31" i="3" s="1"/>
  <c r="R5" i="4"/>
  <c r="T10" i="13"/>
  <c r="S17" i="13"/>
  <c r="S21" i="13" s="1"/>
  <c r="U81" i="3"/>
  <c r="P80" i="3"/>
  <c r="P70" i="3"/>
  <c r="P74" i="3" s="1"/>
  <c r="R82" i="3"/>
  <c r="S65" i="3"/>
  <c r="P53" i="3"/>
  <c r="P43" i="3"/>
  <c r="P47" i="3" s="1"/>
  <c r="T54" i="3"/>
  <c r="P27" i="3"/>
  <c r="P17" i="3"/>
  <c r="R28" i="3"/>
  <c r="E48" i="6"/>
  <c r="D48" i="6"/>
  <c r="F48" i="6" s="1"/>
  <c r="C49" i="6"/>
  <c r="O27" i="3"/>
  <c r="O17" i="3"/>
  <c r="O21" i="3" s="1"/>
  <c r="O26" i="3" s="1"/>
  <c r="O53" i="3"/>
  <c r="O43" i="3"/>
  <c r="O47" i="3" s="1"/>
  <c r="O52" i="3" s="1"/>
  <c r="O74" i="3"/>
  <c r="O79" i="3" s="1"/>
  <c r="O80" i="3"/>
  <c r="R21" i="2" l="1"/>
  <c r="H18" i="18" s="1"/>
  <c r="F18" i="18" s="1"/>
  <c r="U13" i="4"/>
  <c r="T16" i="4"/>
  <c r="R55" i="3"/>
  <c r="S38" i="3"/>
  <c r="T13" i="2"/>
  <c r="S16" i="2"/>
  <c r="S17" i="2" s="1"/>
  <c r="S21" i="2" s="1"/>
  <c r="E19" i="18"/>
  <c r="R41" i="2"/>
  <c r="H19" i="18" s="1"/>
  <c r="T33" i="2"/>
  <c r="S36" i="2"/>
  <c r="S37" i="2" s="1"/>
  <c r="S41" i="2" s="1"/>
  <c r="F17" i="18"/>
  <c r="I17" i="18"/>
  <c r="Q29" i="4"/>
  <c r="Q17" i="4"/>
  <c r="Q21" i="4" s="1"/>
  <c r="Q26" i="4" s="1"/>
  <c r="V14" i="6"/>
  <c r="U15" i="6"/>
  <c r="U19" i="6" s="1"/>
  <c r="AA2" i="7"/>
  <c r="AA2" i="19"/>
  <c r="AA2" i="2"/>
  <c r="AA2" i="3"/>
  <c r="AA2" i="8"/>
  <c r="AA2" i="6"/>
  <c r="AA2" i="13"/>
  <c r="AA2" i="4"/>
  <c r="R7" i="4"/>
  <c r="R12" i="4" s="1"/>
  <c r="R7" i="3"/>
  <c r="T15" i="8"/>
  <c r="S19" i="8"/>
  <c r="U12" i="3"/>
  <c r="T29" i="3"/>
  <c r="P52" i="3"/>
  <c r="P21" i="3"/>
  <c r="P26" i="3" s="1"/>
  <c r="N26" i="3"/>
  <c r="I14" i="18" s="1"/>
  <c r="E12" i="21" s="1"/>
  <c r="H14" i="18"/>
  <c r="F14" i="18" s="1"/>
  <c r="G16" i="18"/>
  <c r="P24" i="2"/>
  <c r="P44" i="2"/>
  <c r="P79" i="3"/>
  <c r="N52" i="3"/>
  <c r="I15" i="18" s="1"/>
  <c r="E13" i="21" s="1"/>
  <c r="H15" i="18"/>
  <c r="F15" i="18" s="1"/>
  <c r="S5" i="19"/>
  <c r="S21" i="19" s="1"/>
  <c r="S5" i="2"/>
  <c r="AB31" i="4"/>
  <c r="AA31" i="4"/>
  <c r="W30" i="4"/>
  <c r="S5" i="3"/>
  <c r="S19" i="3" s="1"/>
  <c r="S31" i="3" s="1"/>
  <c r="S5" i="4"/>
  <c r="U10" i="13"/>
  <c r="T17" i="13"/>
  <c r="T21" i="13" s="1"/>
  <c r="Q80" i="3"/>
  <c r="Q70" i="3"/>
  <c r="Q74" i="3" s="1"/>
  <c r="Q79" i="3" s="1"/>
  <c r="V81" i="3"/>
  <c r="T65" i="3"/>
  <c r="S82" i="3"/>
  <c r="U54" i="3"/>
  <c r="Q43" i="3"/>
  <c r="Q47" i="3" s="1"/>
  <c r="Q52" i="3" s="1"/>
  <c r="Q53" i="3"/>
  <c r="S28" i="3"/>
  <c r="Q27" i="3"/>
  <c r="Q17" i="3"/>
  <c r="Q21" i="3" s="1"/>
  <c r="Q26" i="3" s="1"/>
  <c r="D49" i="6"/>
  <c r="F49" i="6" s="1"/>
  <c r="E49" i="6"/>
  <c r="C50" i="6"/>
  <c r="R24" i="2" l="1"/>
  <c r="I18" i="18" s="1"/>
  <c r="I10" i="21" s="1"/>
  <c r="F19" i="18"/>
  <c r="V13" i="4"/>
  <c r="U16" i="4"/>
  <c r="T38" i="3"/>
  <c r="S55" i="3"/>
  <c r="U33" i="2"/>
  <c r="T36" i="2"/>
  <c r="T37" i="2" s="1"/>
  <c r="T41" i="2" s="1"/>
  <c r="R44" i="2"/>
  <c r="I19" i="18" s="1"/>
  <c r="U13" i="2"/>
  <c r="T16" i="2"/>
  <c r="T17" i="2" s="1"/>
  <c r="T21" i="2" s="1"/>
  <c r="R29" i="4"/>
  <c r="R17" i="4"/>
  <c r="E15" i="21"/>
  <c r="E22" i="21" s="1"/>
  <c r="E29" i="21" s="1"/>
  <c r="G17" i="18"/>
  <c r="S7" i="3"/>
  <c r="S7" i="4"/>
  <c r="S12" i="4" s="1"/>
  <c r="U15" i="8"/>
  <c r="T19" i="8"/>
  <c r="AB2" i="7"/>
  <c r="AB2" i="19"/>
  <c r="AB2" i="8"/>
  <c r="AB2" i="2"/>
  <c r="AB2" i="4"/>
  <c r="AB2" i="6"/>
  <c r="AB2" i="3"/>
  <c r="AB2" i="13"/>
  <c r="W14" i="6"/>
  <c r="V15" i="6"/>
  <c r="V19" i="6" s="1"/>
  <c r="V12" i="3"/>
  <c r="U29" i="3"/>
  <c r="G15" i="18"/>
  <c r="T5" i="19"/>
  <c r="T21" i="19" s="1"/>
  <c r="T5" i="2"/>
  <c r="S24" i="2"/>
  <c r="S44" i="2"/>
  <c r="G14" i="18"/>
  <c r="X30" i="4"/>
  <c r="V10" i="13"/>
  <c r="U17" i="13"/>
  <c r="U21" i="13" s="1"/>
  <c r="T5" i="3"/>
  <c r="T19" i="3" s="1"/>
  <c r="T31" i="3" s="1"/>
  <c r="T5" i="4"/>
  <c r="W81" i="3"/>
  <c r="R80" i="3"/>
  <c r="R70" i="3"/>
  <c r="U65" i="3"/>
  <c r="T82" i="3"/>
  <c r="R43" i="3"/>
  <c r="R53" i="3"/>
  <c r="V54" i="3"/>
  <c r="T28" i="3"/>
  <c r="R27" i="3"/>
  <c r="R17" i="3"/>
  <c r="C51" i="6"/>
  <c r="E50" i="6"/>
  <c r="D50" i="6"/>
  <c r="F50" i="6" s="1"/>
  <c r="G18" i="18" l="1"/>
  <c r="G19" i="18"/>
  <c r="E24" i="21"/>
  <c r="E31" i="21" s="1"/>
  <c r="W13" i="4"/>
  <c r="V16" i="4"/>
  <c r="T55" i="3"/>
  <c r="U38" i="3"/>
  <c r="I11" i="21"/>
  <c r="V13" i="2"/>
  <c r="U16" i="2"/>
  <c r="U17" i="2" s="1"/>
  <c r="U21" i="2" s="1"/>
  <c r="V33" i="2"/>
  <c r="U36" i="2"/>
  <c r="U37" i="2" s="1"/>
  <c r="U41" i="2" s="1"/>
  <c r="S29" i="4"/>
  <c r="S17" i="4"/>
  <c r="S21" i="4" s="1"/>
  <c r="S26" i="4" s="1"/>
  <c r="E23" i="18"/>
  <c r="R21" i="4"/>
  <c r="T7" i="4"/>
  <c r="T12" i="4" s="1"/>
  <c r="T7" i="3"/>
  <c r="V15" i="8"/>
  <c r="U19" i="8"/>
  <c r="X14" i="6"/>
  <c r="W15" i="6"/>
  <c r="W19" i="6" s="1"/>
  <c r="W12" i="3"/>
  <c r="V29" i="3"/>
  <c r="U5" i="19"/>
  <c r="U21" i="19" s="1"/>
  <c r="U5" i="2"/>
  <c r="R47" i="3"/>
  <c r="E21" i="18"/>
  <c r="R74" i="3"/>
  <c r="E22" i="18"/>
  <c r="R21" i="3"/>
  <c r="E20" i="18"/>
  <c r="T44" i="2"/>
  <c r="T24" i="2"/>
  <c r="Y30" i="4"/>
  <c r="U5" i="3"/>
  <c r="U19" i="3" s="1"/>
  <c r="U31" i="3" s="1"/>
  <c r="U5" i="4"/>
  <c r="W10" i="13"/>
  <c r="V17" i="13"/>
  <c r="V21" i="13" s="1"/>
  <c r="S80" i="3"/>
  <c r="S70" i="3"/>
  <c r="S74" i="3" s="1"/>
  <c r="S79" i="3" s="1"/>
  <c r="X81" i="3"/>
  <c r="U82" i="3"/>
  <c r="V65" i="3"/>
  <c r="W54" i="3"/>
  <c r="S53" i="3"/>
  <c r="S43" i="3"/>
  <c r="S47" i="3" s="1"/>
  <c r="S52" i="3" s="1"/>
  <c r="S27" i="3"/>
  <c r="S17" i="3"/>
  <c r="S21" i="3" s="1"/>
  <c r="S26" i="3" s="1"/>
  <c r="U28" i="3"/>
  <c r="C52" i="6"/>
  <c r="D51" i="6"/>
  <c r="F51" i="6" s="1"/>
  <c r="E51" i="6"/>
  <c r="X13" i="4" l="1"/>
  <c r="W16" i="4"/>
  <c r="U55" i="3"/>
  <c r="V38" i="3"/>
  <c r="W33" i="2"/>
  <c r="V36" i="2"/>
  <c r="V37" i="2" s="1"/>
  <c r="W13" i="2"/>
  <c r="V16" i="2"/>
  <c r="V17" i="2" s="1"/>
  <c r="V21" i="2" s="1"/>
  <c r="H24" i="18" s="1"/>
  <c r="T29" i="4"/>
  <c r="T17" i="4"/>
  <c r="T21" i="4" s="1"/>
  <c r="T26" i="4" s="1"/>
  <c r="R26" i="4"/>
  <c r="H23" i="18"/>
  <c r="Y14" i="6"/>
  <c r="X15" i="6"/>
  <c r="X19" i="6" s="1"/>
  <c r="U7" i="3"/>
  <c r="U7" i="4"/>
  <c r="U12" i="4" s="1"/>
  <c r="W15" i="8"/>
  <c r="V19" i="8"/>
  <c r="X12" i="3"/>
  <c r="W29" i="3"/>
  <c r="R26" i="3"/>
  <c r="H20" i="18"/>
  <c r="F20" i="18" s="1"/>
  <c r="R79" i="3"/>
  <c r="I22" i="18" s="1"/>
  <c r="I14" i="21" s="1"/>
  <c r="H22" i="18"/>
  <c r="F22" i="18" s="1"/>
  <c r="V5" i="19"/>
  <c r="V21" i="19" s="1"/>
  <c r="V5" i="2"/>
  <c r="R52" i="3"/>
  <c r="I21" i="18" s="1"/>
  <c r="I13" i="21" s="1"/>
  <c r="H21" i="18"/>
  <c r="F21" i="18" s="1"/>
  <c r="U44" i="2"/>
  <c r="U24" i="2"/>
  <c r="Z30" i="4"/>
  <c r="V5" i="3"/>
  <c r="V19" i="3" s="1"/>
  <c r="V31" i="3" s="1"/>
  <c r="V5" i="4"/>
  <c r="X10" i="13"/>
  <c r="W17" i="13"/>
  <c r="W21" i="13" s="1"/>
  <c r="Y81" i="3"/>
  <c r="T80" i="3"/>
  <c r="T70" i="3"/>
  <c r="T74" i="3" s="1"/>
  <c r="T79" i="3" s="1"/>
  <c r="W65" i="3"/>
  <c r="V82" i="3"/>
  <c r="T53" i="3"/>
  <c r="T43" i="3"/>
  <c r="T47" i="3" s="1"/>
  <c r="T52" i="3" s="1"/>
  <c r="X54" i="3"/>
  <c r="V28" i="3"/>
  <c r="T27" i="3"/>
  <c r="T17" i="3"/>
  <c r="T21" i="3" s="1"/>
  <c r="T26" i="3" s="1"/>
  <c r="C53" i="6"/>
  <c r="E52" i="6"/>
  <c r="D52" i="6"/>
  <c r="F52" i="6" s="1"/>
  <c r="E24" i="18" l="1"/>
  <c r="F24" i="18" s="1"/>
  <c r="Y13" i="4"/>
  <c r="X16" i="4"/>
  <c r="W38" i="3"/>
  <c r="V55" i="3"/>
  <c r="AC97" i="3"/>
  <c r="AC93" i="3"/>
  <c r="AC94" i="3"/>
  <c r="AC95" i="3"/>
  <c r="AC96" i="3"/>
  <c r="I20" i="18"/>
  <c r="I12" i="21" s="1"/>
  <c r="X13" i="2"/>
  <c r="W16" i="2"/>
  <c r="W17" i="2" s="1"/>
  <c r="W21" i="2" s="1"/>
  <c r="E25" i="18"/>
  <c r="V41" i="2"/>
  <c r="H25" i="18" s="1"/>
  <c r="X33" i="2"/>
  <c r="W36" i="2"/>
  <c r="W37" i="2" s="1"/>
  <c r="W41" i="2" s="1"/>
  <c r="U29" i="4"/>
  <c r="U17" i="4"/>
  <c r="U21" i="4" s="1"/>
  <c r="U26" i="4" s="1"/>
  <c r="I23" i="18"/>
  <c r="F23" i="18"/>
  <c r="V7" i="3"/>
  <c r="V7" i="4"/>
  <c r="V12" i="4" s="1"/>
  <c r="X15" i="8"/>
  <c r="W19" i="8"/>
  <c r="Z14" i="6"/>
  <c r="Y15" i="6"/>
  <c r="Y19" i="6" s="1"/>
  <c r="G21" i="18"/>
  <c r="Y12" i="3"/>
  <c r="X29" i="3"/>
  <c r="V24" i="2"/>
  <c r="I24" i="18" s="1"/>
  <c r="M10" i="21" s="1"/>
  <c r="W5" i="19"/>
  <c r="W21" i="19" s="1"/>
  <c r="W5" i="2"/>
  <c r="G22" i="18"/>
  <c r="AA30" i="4"/>
  <c r="W5" i="3"/>
  <c r="W19" i="3" s="1"/>
  <c r="W31" i="3" s="1"/>
  <c r="W5" i="4"/>
  <c r="Y10" i="13"/>
  <c r="X17" i="13"/>
  <c r="X21" i="13" s="1"/>
  <c r="Z81" i="3"/>
  <c r="U80" i="3"/>
  <c r="U70" i="3"/>
  <c r="U74" i="3" s="1"/>
  <c r="U79" i="3" s="1"/>
  <c r="W82" i="3"/>
  <c r="X65" i="3"/>
  <c r="U53" i="3"/>
  <c r="U43" i="3"/>
  <c r="U47" i="3" s="1"/>
  <c r="U52" i="3" s="1"/>
  <c r="Y54" i="3"/>
  <c r="U27" i="3"/>
  <c r="U17" i="3"/>
  <c r="U21" i="3" s="1"/>
  <c r="U26" i="3" s="1"/>
  <c r="W28" i="3"/>
  <c r="E53" i="6"/>
  <c r="D53" i="6"/>
  <c r="F53" i="6" s="1"/>
  <c r="C54" i="6"/>
  <c r="Z13" i="4" l="1"/>
  <c r="Y16" i="4"/>
  <c r="F25" i="18"/>
  <c r="X38" i="3"/>
  <c r="W55" i="3"/>
  <c r="G20" i="18"/>
  <c r="K97" i="3"/>
  <c r="K93" i="3"/>
  <c r="K94" i="3"/>
  <c r="K95" i="3"/>
  <c r="K96" i="3"/>
  <c r="V44" i="2"/>
  <c r="I25" i="18" s="1"/>
  <c r="Y33" i="2"/>
  <c r="X36" i="2"/>
  <c r="X37" i="2" s="1"/>
  <c r="X41" i="2" s="1"/>
  <c r="Y13" i="2"/>
  <c r="X16" i="2"/>
  <c r="X17" i="2" s="1"/>
  <c r="X21" i="2" s="1"/>
  <c r="V29" i="4"/>
  <c r="V17" i="4"/>
  <c r="I15" i="21"/>
  <c r="G23" i="18"/>
  <c r="AA14" i="6"/>
  <c r="Z15" i="6"/>
  <c r="Z19" i="6" s="1"/>
  <c r="W7" i="3"/>
  <c r="W7" i="4"/>
  <c r="W12" i="4" s="1"/>
  <c r="Y15" i="8"/>
  <c r="X19" i="8"/>
  <c r="G24" i="18"/>
  <c r="Y29" i="3"/>
  <c r="Z12" i="3"/>
  <c r="X5" i="19"/>
  <c r="X21" i="19" s="1"/>
  <c r="X5" i="2"/>
  <c r="W24" i="2"/>
  <c r="W44" i="2"/>
  <c r="AB30" i="4"/>
  <c r="X5" i="4"/>
  <c r="X5" i="3"/>
  <c r="X19" i="3" s="1"/>
  <c r="X31" i="3" s="1"/>
  <c r="Z10" i="13"/>
  <c r="Y17" i="13"/>
  <c r="Y21" i="13" s="1"/>
  <c r="V80" i="3"/>
  <c r="V70" i="3"/>
  <c r="AA81" i="3"/>
  <c r="AB81" i="3"/>
  <c r="Y65" i="3"/>
  <c r="X82" i="3"/>
  <c r="Z54" i="3"/>
  <c r="V43" i="3"/>
  <c r="V53" i="3"/>
  <c r="X28" i="3"/>
  <c r="V27" i="3"/>
  <c r="V17" i="3"/>
  <c r="C55" i="6"/>
  <c r="D54" i="6"/>
  <c r="F54" i="6" s="1"/>
  <c r="E54" i="6"/>
  <c r="G25" i="18" l="1"/>
  <c r="AA13" i="4"/>
  <c r="Z16" i="4"/>
  <c r="Y38" i="3"/>
  <c r="X55" i="3"/>
  <c r="M11" i="21"/>
  <c r="Z13" i="2"/>
  <c r="Y16" i="2"/>
  <c r="Y17" i="2" s="1"/>
  <c r="Y21" i="2" s="1"/>
  <c r="Z33" i="2"/>
  <c r="Y36" i="2"/>
  <c r="Y37" i="2" s="1"/>
  <c r="Y41" i="2" s="1"/>
  <c r="E29" i="18"/>
  <c r="V21" i="4"/>
  <c r="W29" i="4"/>
  <c r="W17" i="4"/>
  <c r="W21" i="4" s="1"/>
  <c r="W26" i="4" s="1"/>
  <c r="I24" i="21"/>
  <c r="I22" i="21"/>
  <c r="X7" i="4"/>
  <c r="X12" i="4" s="1"/>
  <c r="X7" i="3"/>
  <c r="AB14" i="6"/>
  <c r="AB15" i="6" s="1"/>
  <c r="AB19" i="6" s="1"/>
  <c r="AA15" i="6"/>
  <c r="AA19" i="6" s="1"/>
  <c r="Z15" i="8"/>
  <c r="Y19" i="8"/>
  <c r="Z29" i="3"/>
  <c r="AA12" i="3"/>
  <c r="V74" i="3"/>
  <c r="E28" i="18"/>
  <c r="V21" i="3"/>
  <c r="E26" i="18"/>
  <c r="Y5" i="19"/>
  <c r="Y21" i="19" s="1"/>
  <c r="Y5" i="2"/>
  <c r="V47" i="3"/>
  <c r="E27" i="18"/>
  <c r="X24" i="2"/>
  <c r="X44" i="2"/>
  <c r="Y5" i="3"/>
  <c r="Y19" i="3" s="1"/>
  <c r="Y31" i="3" s="1"/>
  <c r="Y5" i="4"/>
  <c r="AA10" i="13"/>
  <c r="Z17" i="13"/>
  <c r="Z21" i="13" s="1"/>
  <c r="W80" i="3"/>
  <c r="W70" i="3"/>
  <c r="W74" i="3" s="1"/>
  <c r="W79" i="3" s="1"/>
  <c r="Y82" i="3"/>
  <c r="Z65" i="3"/>
  <c r="W43" i="3"/>
  <c r="W47" i="3" s="1"/>
  <c r="W52" i="3" s="1"/>
  <c r="W53" i="3"/>
  <c r="AB54" i="3"/>
  <c r="AA54" i="3"/>
  <c r="Y28" i="3"/>
  <c r="W27" i="3"/>
  <c r="W17" i="3"/>
  <c r="W21" i="3" s="1"/>
  <c r="W26" i="3" s="1"/>
  <c r="E55" i="6"/>
  <c r="C56" i="6"/>
  <c r="D55" i="6"/>
  <c r="F55" i="6" s="1"/>
  <c r="AB13" i="4" l="1"/>
  <c r="AB16" i="4" s="1"/>
  <c r="AA16" i="4"/>
  <c r="Y55" i="3"/>
  <c r="Z38" i="3"/>
  <c r="AA33" i="2"/>
  <c r="Z36" i="2"/>
  <c r="Z37" i="2" s="1"/>
  <c r="Z41" i="2" s="1"/>
  <c r="AA13" i="2"/>
  <c r="Z16" i="2"/>
  <c r="Z17" i="2" s="1"/>
  <c r="Z21" i="2" s="1"/>
  <c r="X29" i="4"/>
  <c r="X17" i="4"/>
  <c r="X21" i="4" s="1"/>
  <c r="X26" i="4" s="1"/>
  <c r="I29" i="21"/>
  <c r="F43" i="21" s="1"/>
  <c r="F41" i="21"/>
  <c r="I31" i="21"/>
  <c r="F42" i="21" s="1"/>
  <c r="F40" i="21"/>
  <c r="H29" i="18"/>
  <c r="V26" i="4"/>
  <c r="Y7" i="4"/>
  <c r="Y12" i="4" s="1"/>
  <c r="Y7" i="3"/>
  <c r="AA15" i="8"/>
  <c r="Z19" i="8"/>
  <c r="AA29" i="3"/>
  <c r="AB12" i="3"/>
  <c r="AB29" i="3" s="1"/>
  <c r="Z5" i="19"/>
  <c r="Z21" i="19" s="1"/>
  <c r="Z5" i="2"/>
  <c r="V52" i="3"/>
  <c r="I27" i="18" s="1"/>
  <c r="M13" i="21" s="1"/>
  <c r="H27" i="18"/>
  <c r="F27" i="18" s="1"/>
  <c r="Y24" i="2"/>
  <c r="Y44" i="2"/>
  <c r="V26" i="3"/>
  <c r="I26" i="18" s="1"/>
  <c r="M12" i="21" s="1"/>
  <c r="H26" i="18"/>
  <c r="F26" i="18" s="1"/>
  <c r="V79" i="3"/>
  <c r="I28" i="18" s="1"/>
  <c r="M14" i="21" s="1"/>
  <c r="H28" i="18"/>
  <c r="F28" i="18" s="1"/>
  <c r="Z5" i="3"/>
  <c r="Z19" i="3" s="1"/>
  <c r="Z31" i="3" s="1"/>
  <c r="Z5" i="4"/>
  <c r="AB10" i="13"/>
  <c r="AB17" i="13" s="1"/>
  <c r="AB21" i="13" s="1"/>
  <c r="AA17" i="13"/>
  <c r="AA21" i="13" s="1"/>
  <c r="X80" i="3"/>
  <c r="X70" i="3"/>
  <c r="X74" i="3" s="1"/>
  <c r="X79" i="3" s="1"/>
  <c r="AA65" i="3"/>
  <c r="Z82" i="3"/>
  <c r="X53" i="3"/>
  <c r="X43" i="3"/>
  <c r="X47" i="3" s="1"/>
  <c r="X52" i="3" s="1"/>
  <c r="X27" i="3"/>
  <c r="X17" i="3"/>
  <c r="X21" i="3" s="1"/>
  <c r="X26" i="3" s="1"/>
  <c r="Z28" i="3"/>
  <c r="D56" i="6"/>
  <c r="F56" i="6" s="1"/>
  <c r="E56" i="6"/>
  <c r="C57" i="6"/>
  <c r="Z55" i="3" l="1"/>
  <c r="AA38" i="3"/>
  <c r="Q95" i="3"/>
  <c r="Q93" i="3"/>
  <c r="Q94" i="3"/>
  <c r="Q96" i="3"/>
  <c r="Q97" i="3"/>
  <c r="AB13" i="2"/>
  <c r="AB16" i="2" s="1"/>
  <c r="AB17" i="2" s="1"/>
  <c r="AB21" i="2" s="1"/>
  <c r="AA16" i="2"/>
  <c r="AA17" i="2" s="1"/>
  <c r="AA21" i="2" s="1"/>
  <c r="AB33" i="2"/>
  <c r="AB36" i="2" s="1"/>
  <c r="AB37" i="2" s="1"/>
  <c r="AB41" i="2" s="1"/>
  <c r="AA36" i="2"/>
  <c r="AA37" i="2" s="1"/>
  <c r="AA41" i="2" s="1"/>
  <c r="Y29" i="4"/>
  <c r="Y17" i="4"/>
  <c r="Y21" i="4" s="1"/>
  <c r="Y26" i="4" s="1"/>
  <c r="F29" i="18"/>
  <c r="I29" i="18"/>
  <c r="Z7" i="3"/>
  <c r="Z7" i="4"/>
  <c r="Z12" i="4" s="1"/>
  <c r="AB15" i="8"/>
  <c r="AB19" i="8" s="1"/>
  <c r="AA19" i="8"/>
  <c r="AA5" i="19"/>
  <c r="AA21" i="19" s="1"/>
  <c r="AA5" i="2"/>
  <c r="AB5" i="19"/>
  <c r="AB21" i="19" s="1"/>
  <c r="AB5" i="2"/>
  <c r="G26" i="18"/>
  <c r="G27" i="18"/>
  <c r="G28" i="18"/>
  <c r="Z24" i="2"/>
  <c r="Z44" i="2"/>
  <c r="AA5" i="3"/>
  <c r="AA19" i="3" s="1"/>
  <c r="AA31" i="3" s="1"/>
  <c r="AA5" i="4"/>
  <c r="AB5" i="3"/>
  <c r="AB19" i="3" s="1"/>
  <c r="AB31" i="3" s="1"/>
  <c r="AB5" i="4"/>
  <c r="Y80" i="3"/>
  <c r="Y70" i="3"/>
  <c r="Y74" i="3" s="1"/>
  <c r="Y79" i="3" s="1"/>
  <c r="AA82" i="3"/>
  <c r="AB65" i="3"/>
  <c r="Y53" i="3"/>
  <c r="Y43" i="3"/>
  <c r="Y47" i="3" s="1"/>
  <c r="Y52" i="3" s="1"/>
  <c r="AB28" i="3"/>
  <c r="AA28" i="3"/>
  <c r="Y27" i="3"/>
  <c r="Y17" i="3"/>
  <c r="Y21" i="3" s="1"/>
  <c r="Y26" i="3" s="1"/>
  <c r="E57" i="6"/>
  <c r="C58" i="6"/>
  <c r="D57" i="6"/>
  <c r="F57" i="6" s="1"/>
  <c r="AA55" i="3" l="1"/>
  <c r="AB38" i="3"/>
  <c r="AB55" i="3" s="1"/>
  <c r="Z29" i="4"/>
  <c r="Z17" i="4"/>
  <c r="Z21" i="4" s="1"/>
  <c r="Z26" i="4" s="1"/>
  <c r="M15" i="21"/>
  <c r="G29" i="18"/>
  <c r="AB7" i="3"/>
  <c r="AB7" i="4"/>
  <c r="AB12" i="4" s="1"/>
  <c r="AB29" i="4" s="1"/>
  <c r="AA7" i="3"/>
  <c r="AA7" i="4"/>
  <c r="AA12" i="4" s="1"/>
  <c r="AB24" i="2"/>
  <c r="AB44" i="2"/>
  <c r="AA44" i="2"/>
  <c r="AA24" i="2"/>
  <c r="Z80" i="3"/>
  <c r="Z70" i="3"/>
  <c r="Z74" i="3" s="1"/>
  <c r="Z79" i="3" s="1"/>
  <c r="AB82" i="3"/>
  <c r="Z43" i="3"/>
  <c r="Z47" i="3" s="1"/>
  <c r="Z52" i="3" s="1"/>
  <c r="Z53" i="3"/>
  <c r="Z27" i="3"/>
  <c r="Z17" i="3"/>
  <c r="Z21" i="3" s="1"/>
  <c r="Z26" i="3" s="1"/>
  <c r="E58" i="6"/>
  <c r="D58" i="6"/>
  <c r="F58" i="6" s="1"/>
  <c r="AA29" i="4" l="1"/>
  <c r="AA17" i="4"/>
  <c r="AA21" i="4" s="1"/>
  <c r="AA26" i="4" s="1"/>
  <c r="AB17" i="4"/>
  <c r="AB21" i="4" s="1"/>
  <c r="AB26" i="4" s="1"/>
  <c r="M24" i="21"/>
  <c r="M22" i="21"/>
  <c r="AA80" i="3"/>
  <c r="AA70" i="3"/>
  <c r="AA74" i="3" s="1"/>
  <c r="AA79" i="3" s="1"/>
  <c r="AA43" i="3"/>
  <c r="AA47" i="3" s="1"/>
  <c r="AA52" i="3" s="1"/>
  <c r="AA53" i="3"/>
  <c r="AA27" i="3"/>
  <c r="AA17" i="3"/>
  <c r="AA21" i="3" s="1"/>
  <c r="AA26" i="3" s="1"/>
  <c r="G41" i="21" l="1"/>
  <c r="M29" i="21"/>
  <c r="G43" i="21" s="1"/>
  <c r="M31" i="21"/>
  <c r="G42" i="21" s="1"/>
  <c r="G40" i="21"/>
  <c r="AB80" i="3"/>
  <c r="AB70" i="3"/>
  <c r="AB74" i="3" s="1"/>
  <c r="AB79" i="3" s="1"/>
  <c r="AB43" i="3"/>
  <c r="AB47" i="3" s="1"/>
  <c r="AB52" i="3" s="1"/>
  <c r="AB53" i="3"/>
  <c r="AB27" i="3"/>
  <c r="AB17" i="3"/>
  <c r="AB21" i="3" s="1"/>
  <c r="AB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tc={88C13634-03EC-264B-B8FA-FF01C9AB2ED7}</author>
  </authors>
  <commentList>
    <comment ref="BC19" authorId="0" shapeId="0" xr:uid="{88C13634-03EC-264B-B8FA-FF01C9AB2ED7}">
      <text>
        <t>[Threaded comment]
Your version of Excel allows you to read this threaded comment; however, any edits to it will get removed if the file is opened in a newer version of Excel. Learn more: https://go.microsoft.com/fwlink/?linkid=870924
Comment:
    Couldn’t find any information here yet. How should we proceed? Leave that out or make some assumption</t>
      </text>
    </comment>
  </commentList>
</comments>
</file>

<file path=xl/sharedStrings.xml><?xml version="1.0" encoding="utf-8"?>
<sst xmlns="http://schemas.openxmlformats.org/spreadsheetml/2006/main" count="2079" uniqueCount="765">
  <si>
    <t>Author</t>
  </si>
  <si>
    <t>Year</t>
  </si>
  <si>
    <t>Title</t>
  </si>
  <si>
    <t>DOI</t>
  </si>
  <si>
    <t>WACC</t>
  </si>
  <si>
    <t>Electricity cost</t>
  </si>
  <si>
    <t>€/MWh,el</t>
  </si>
  <si>
    <t>-</t>
  </si>
  <si>
    <t>Objective</t>
  </si>
  <si>
    <t>Original Unit</t>
  </si>
  <si>
    <t>Original Value</t>
  </si>
  <si>
    <t>Unit</t>
  </si>
  <si>
    <t>Value</t>
  </si>
  <si>
    <t>Reference</t>
  </si>
  <si>
    <t>Capex</t>
  </si>
  <si>
    <t>Lifetime</t>
  </si>
  <si>
    <t>FLH</t>
  </si>
  <si>
    <t>crf</t>
  </si>
  <si>
    <t>€/MWh</t>
  </si>
  <si>
    <t>Opexfix</t>
  </si>
  <si>
    <t>Opexvar</t>
  </si>
  <si>
    <t>a</t>
  </si>
  <si>
    <t>h</t>
  </si>
  <si>
    <t>Electricity,in</t>
  </si>
  <si>
    <t>Heat,in</t>
  </si>
  <si>
    <t>Heat,out</t>
  </si>
  <si>
    <t>MWh,el/tCO2</t>
  </si>
  <si>
    <t>MWh,th/tCO2</t>
  </si>
  <si>
    <t>LCO x energy</t>
  </si>
  <si>
    <t>Carbon eff</t>
  </si>
  <si>
    <t>electricity cost</t>
  </si>
  <si>
    <t>The method for electricity cost had been the following:</t>
  </si>
  <si>
    <t>Bogdanov et al. (2021) is the basis https://www.sciencedirect.com/science/article/pii/S0360544221007167</t>
  </si>
  <si>
    <t>this has been recalculated with latest cost assumptions (PV system, batteries), as used for instance in Manjong et al. (2021): https://ieeexplore.ieee.org/document/9579016</t>
  </si>
  <si>
    <t>this was the basis of this recently submitted paper of Galimova et al. (2022) Global trading of renewable electricity-based fuels and chemicals to enhance the energy transition across all sectors towards sustainability, submitted</t>
  </si>
  <si>
    <t>then the wind FLh are adjusted according to the findings of Satymov et al. (2022) https://www.sciencedirect.com/science/article/pii/S0360544222015328</t>
  </si>
  <si>
    <t>that finally delivers the numbers as highlighted in green</t>
  </si>
  <si>
    <t>do we need numbers earlier than 2030 for CDR? most likely not</t>
  </si>
  <si>
    <t>values for 2035 and 2045 to be interpolated</t>
  </si>
  <si>
    <t>then we know that the cost beyond 2050 further decline due to the full cost assumptions of 2050 since other higher cost options are phased out, that effect is about 15%, and that is fully effective around 2070, thus, the periods 2055, 2060, 2065 to be interpolated between the values of 2050 and 2070</t>
  </si>
  <si>
    <t>beyond 2070 let’s use the 2070 value</t>
  </si>
  <si>
    <t>MININ,ON</t>
  </si>
  <si>
    <t>LCO</t>
  </si>
  <si>
    <t>MININ,OFF</t>
  </si>
  <si>
    <t>€[2020]/(tCO2/a)</t>
  </si>
  <si>
    <t>€[2020]/tCO2</t>
  </si>
  <si>
    <t>Availability if not further stated</t>
  </si>
  <si>
    <t>Water,in</t>
  </si>
  <si>
    <t>m3/tCO2</t>
  </si>
  <si>
    <t>Snaebjoernsdottir 2020</t>
  </si>
  <si>
    <t>Snaebjoernsdottir</t>
  </si>
  <si>
    <t>Faber 2022</t>
  </si>
  <si>
    <t>Ostovari 2020</t>
  </si>
  <si>
    <t>Naraharisetti 2019, Kelemen 2020</t>
  </si>
  <si>
    <t>Narharisetti</t>
  </si>
  <si>
    <t>Kelemen</t>
  </si>
  <si>
    <t>Ostovari</t>
  </si>
  <si>
    <t>Faber</t>
  </si>
  <si>
    <t>IEAGHG 2013</t>
  </si>
  <si>
    <t>€[2013]/(tCO2/a)</t>
  </si>
  <si>
    <t>€[2013]/tCO2</t>
  </si>
  <si>
    <t>Ostovari 2022</t>
  </si>
  <si>
    <t>MINEX,Serpentine</t>
  </si>
  <si>
    <t>MINEX,SteelSlag</t>
  </si>
  <si>
    <t>MINEX,Olivine</t>
  </si>
  <si>
    <t>Bremen 2022</t>
  </si>
  <si>
    <t>Temperature</t>
  </si>
  <si>
    <t>°C</t>
  </si>
  <si>
    <t>Pressure</t>
  </si>
  <si>
    <t>bar</t>
  </si>
  <si>
    <t>Open Pit Mining</t>
  </si>
  <si>
    <t>Serpentine,in</t>
  </si>
  <si>
    <t>t/tCO2</t>
  </si>
  <si>
    <t>MgCO3,out</t>
  </si>
  <si>
    <t>SiO2,out</t>
  </si>
  <si>
    <t>Olivine,in</t>
  </si>
  <si>
    <t>??</t>
  </si>
  <si>
    <t>Country/Region</t>
  </si>
  <si>
    <t>Spain</t>
  </si>
  <si>
    <t>Italy</t>
  </si>
  <si>
    <t>Greece</t>
  </si>
  <si>
    <t>Norway</t>
  </si>
  <si>
    <t>MINEX</t>
  </si>
  <si>
    <t>Serpentine</t>
  </si>
  <si>
    <t>Olivine</t>
  </si>
  <si>
    <t>SteelSlag</t>
  </si>
  <si>
    <t>MININ</t>
  </si>
  <si>
    <t>MWh,th/t</t>
  </si>
  <si>
    <t>€[2022]/(tCO2/a)</t>
  </si>
  <si>
    <t>€[2022]/tCO2</t>
  </si>
  <si>
    <t>Mineral Feedstock</t>
  </si>
  <si>
    <t>Faber 2022, Strunge 2022</t>
  </si>
  <si>
    <t>€[2022]/tMgCO3</t>
  </si>
  <si>
    <t>European Union (EU6-1958, EU9-1973, EU10-1981, EU12-1986, EU15-1995, EU25-2004, EU27-2007, EU28-2013, EU27-2020)</t>
  </si>
  <si>
    <t/>
  </si>
  <si>
    <t>European HICP - Inflation correction</t>
  </si>
  <si>
    <t>Energy balance</t>
  </si>
  <si>
    <t>Mass balance</t>
  </si>
  <si>
    <t>Other</t>
  </si>
  <si>
    <t>LCOCDR</t>
  </si>
  <si>
    <t>LCOCDR x energy x commodities</t>
  </si>
  <si>
    <t>LCOCDR x commodities</t>
  </si>
  <si>
    <t>Heat,LT cost</t>
  </si>
  <si>
    <t>Heat,HT cost</t>
  </si>
  <si>
    <t>Water</t>
  </si>
  <si>
    <t>MgCO3</t>
  </si>
  <si>
    <t>SiO2</t>
  </si>
  <si>
    <t>CaCO3</t>
  </si>
  <si>
    <t>kWh,el/tCO2</t>
  </si>
  <si>
    <t>kWh,th/tCO2</t>
  </si>
  <si>
    <t>Electricity</t>
  </si>
  <si>
    <t>Heat</t>
  </si>
  <si>
    <t>Strefler 2018</t>
  </si>
  <si>
    <t>Installed Capacity</t>
  </si>
  <si>
    <t>MtCO2/a</t>
  </si>
  <si>
    <t>Historic cumulative capacity</t>
  </si>
  <si>
    <t>Capex Learning</t>
  </si>
  <si>
    <t>Opex Learning</t>
  </si>
  <si>
    <t>Mining</t>
  </si>
  <si>
    <t>Transport</t>
  </si>
  <si>
    <t>Comminution</t>
  </si>
  <si>
    <t>Technology</t>
  </si>
  <si>
    <t>EW</t>
  </si>
  <si>
    <t>BAWL</t>
  </si>
  <si>
    <t>Carbonates</t>
  </si>
  <si>
    <t>∂G</t>
  </si>
  <si>
    <t>C</t>
  </si>
  <si>
    <t>CO₂</t>
  </si>
  <si>
    <t>CaCO₃</t>
  </si>
  <si>
    <t>MgCO₃</t>
  </si>
  <si>
    <t>Ohara cost assumption of open pit mining</t>
  </si>
  <si>
    <t>Ore milled [t/d]</t>
  </si>
  <si>
    <t>Total cost [MUS$1989]</t>
  </si>
  <si>
    <t>Ore milled [Mt/a]</t>
  </si>
  <si>
    <t>CAPEX [€1989/(t/a)]</t>
  </si>
  <si>
    <t>Guo 2021 and therein</t>
  </si>
  <si>
    <t>India</t>
  </si>
  <si>
    <t>Iceland</t>
  </si>
  <si>
    <t>USA</t>
  </si>
  <si>
    <t>MININ Storage potential</t>
  </si>
  <si>
    <t>Annual [MtCO2/a]</t>
  </si>
  <si>
    <t>Storage field</t>
  </si>
  <si>
    <r>
      <t>Area [10</t>
    </r>
    <r>
      <rPr>
        <vertAlign val="superscript"/>
        <sz val="12"/>
        <color theme="1"/>
        <rFont val="ArialMT"/>
      </rPr>
      <t>3</t>
    </r>
    <r>
      <rPr>
        <sz val="12"/>
        <color theme="1"/>
        <rFont val="ArialMT"/>
        <family val="2"/>
      </rPr>
      <t>km</t>
    </r>
    <r>
      <rPr>
        <vertAlign val="superscript"/>
        <sz val="12"/>
        <color theme="1"/>
        <rFont val="ArialMT"/>
      </rPr>
      <t>2</t>
    </r>
    <r>
      <rPr>
        <sz val="12"/>
        <color theme="1"/>
        <rFont val="ArialMT"/>
        <family val="2"/>
      </rPr>
      <t>]</t>
    </r>
  </si>
  <si>
    <t>Effective height [m]</t>
  </si>
  <si>
    <t>Global</t>
  </si>
  <si>
    <t>Goldberg 2009</t>
  </si>
  <si>
    <t>Vishal 2021</t>
  </si>
  <si>
    <t>DVP</t>
  </si>
  <si>
    <t>Rajmahal Traps</t>
  </si>
  <si>
    <t>Goldberg 2018</t>
  </si>
  <si>
    <t>Juan Fuca Plate</t>
  </si>
  <si>
    <t>Columbian River</t>
  </si>
  <si>
    <t>Total [GtCO2]</t>
  </si>
  <si>
    <t>Total high [GtCO2]</t>
  </si>
  <si>
    <t>McGrail 2006</t>
  </si>
  <si>
    <t>Average porosity low [%]</t>
  </si>
  <si>
    <t>Average porosity high [%]</t>
  </si>
  <si>
    <t>Storage efficiency low [kgCO2/m3]</t>
  </si>
  <si>
    <t>Storage efficiency high [kgCO2/m3]</t>
  </si>
  <si>
    <t>Directly from reference</t>
  </si>
  <si>
    <t>Calculated</t>
  </si>
  <si>
    <t>Bogdanov</t>
  </si>
  <si>
    <t>Manjong</t>
  </si>
  <si>
    <t>Galimova</t>
  </si>
  <si>
    <t>Satymov</t>
  </si>
  <si>
    <t>IEAGHG</t>
  </si>
  <si>
    <t>Strunge</t>
  </si>
  <si>
    <t>Bremen</t>
  </si>
  <si>
    <t>Strefler</t>
  </si>
  <si>
    <t>Kremer</t>
  </si>
  <si>
    <t>Vishal</t>
  </si>
  <si>
    <t>Anthonsen</t>
  </si>
  <si>
    <t>Callow</t>
  </si>
  <si>
    <t>Goldberg</t>
  </si>
  <si>
    <t>McGrail</t>
  </si>
  <si>
    <t>Guo</t>
  </si>
  <si>
    <t>Carbon dioxide storage through mineral carbonation</t>
  </si>
  <si>
    <t>https://doi.org/10.1038/s43017-019-0011-8</t>
  </si>
  <si>
    <t>https://doi.org/10.1016/j.rser.2018.10.008</t>
  </si>
  <si>
    <t>New classification of CO2 mineralization processes and economic evaluation</t>
  </si>
  <si>
    <t xml:space="preserve">https://doi.org/10.1016/j.chemgeo.2020.119628 </t>
  </si>
  <si>
    <t>Engineered carbon mineralization in ultramafic rocks for CO2 removal from air: Review and new insights</t>
  </si>
  <si>
    <t>https://doi.org/10.3389/fclim.2019.00009</t>
  </si>
  <si>
    <t>A climate-optimal supply chain for CO2 capture, utilization, and storage by mineralization</t>
  </si>
  <si>
    <t>https://doi.org/10.1016/j.jclepro.2022.131750</t>
  </si>
  <si>
    <t>https://doi.org/10.1039/D0SE00190B</t>
  </si>
  <si>
    <t>Rock ‘n’ use of CO2: carbon footprint of carbon capture and utilization by mineralization</t>
  </si>
  <si>
    <t>Adapting Technology Learning Curves for Prospective Techno-Economic and Life Cycle Assessments of Emerging Carbon Capture and Utilization Pathways</t>
  </si>
  <si>
    <t>https://doi.org/10.3389/fclim.2022.820261</t>
  </si>
  <si>
    <t>https://doi.org/10.1016/j.jclepro.2022.133920</t>
  </si>
  <si>
    <t>Global demand analysis for carbon dioxide as raw material from key industrial sources and direct air capture to produce renewable electricity-based fuels and chemicals</t>
  </si>
  <si>
    <t>https://doi.org/10.1016/j.energy.2022.124629</t>
  </si>
  <si>
    <t>Global-local analysis of cost-optimal onshore wind turbine configurations considering wind classes and hub heights</t>
  </si>
  <si>
    <t>https://www.globalccsinstitute.com/archive/hub/publications/119816/costs-co2-storage-post-demonstration-ccs-eu.pdf</t>
  </si>
  <si>
    <t>The Costs of CO2 storage</t>
  </si>
  <si>
    <t>https://doi.org/10.1038/s43247-022-00390-0</t>
  </si>
  <si>
    <t>Towards a business case for CO2 mineralisation in the cement industry</t>
  </si>
  <si>
    <t>https://doi.org/10.1021/acs.iecr.2c00984</t>
  </si>
  <si>
    <t>Direct Olivine Carbonation: Optimal Process Design for aLowEmission and Cost-Efficient Cement Production</t>
  </si>
  <si>
    <t>https://doi.org/10.1088/1748-9326/aaa9c4</t>
  </si>
  <si>
    <t>Potential and costs of carbon dioxide removal by enhanced weathering of rocks</t>
  </si>
  <si>
    <t>Geological Mapping and Characterization of Possible Primary Input Materials for the Mineral Sequestration of Carbon Dioxide in Europe</t>
  </si>
  <si>
    <t>https://doi.org/10.3390/min9080485</t>
  </si>
  <si>
    <t>A systematic capacity assessment and classification of geologic CO2 storage systems in India</t>
  </si>
  <si>
    <t>https://doi.org/10.1016/j.ijggc.2021.103458</t>
  </si>
  <si>
    <t>CO2 Storage Potential in the Nordic Region</t>
  </si>
  <si>
    <t>https://doi.org/10.1016/j.egypro.2013.06.421</t>
  </si>
  <si>
    <t>Assessing the carbon sequestration potential of basalt using X-ray micro-CT and rock mechanics</t>
  </si>
  <si>
    <t>https://doi.org/10.1016/j.ijggc.2017.12.008</t>
  </si>
  <si>
    <t>https://doi.org/10.1073/pnas.0804397105</t>
  </si>
  <si>
    <t>Carbon dioxide sequestration in deep-sea basalt</t>
  </si>
  <si>
    <t>https://doi.org/10.1016/j.egypro.2009.02.165</t>
  </si>
  <si>
    <t>A global assessment of deep-sea basalt sites for carbon sequestration</t>
  </si>
  <si>
    <t>https://doi.org/10.1029/2005JB004169</t>
  </si>
  <si>
    <t>Potential for carbon dioxide sequestration in flood basalts</t>
  </si>
  <si>
    <t>Forecasting mining capital cost for open-pit mining projects based on artificial neural network approach</t>
  </si>
  <si>
    <t>https://doi.org/10.1016/j.resourpol.2019.101474</t>
  </si>
  <si>
    <t>Callow 2018</t>
  </si>
  <si>
    <t>Snaenbjoernsdottir 2018</t>
  </si>
  <si>
    <t>Anthonsen 2013</t>
  </si>
  <si>
    <t>Nordic region</t>
  </si>
  <si>
    <t>Finland</t>
  </si>
  <si>
    <t>Aatos 2006</t>
  </si>
  <si>
    <t>Oelkers</t>
  </si>
  <si>
    <t>https://doi.org/10.1016/j.ccst.2023.100098</t>
  </si>
  <si>
    <t>Moving subsurface carbon mineral storage forward</t>
  </si>
  <si>
    <t>Heat pump</t>
  </si>
  <si>
    <t>COP</t>
  </si>
  <si>
    <t>COP assumptions</t>
  </si>
  <si>
    <t>% of Carnot Efficiency</t>
  </si>
  <si>
    <t>Jiang 2022</t>
  </si>
  <si>
    <t>T lift [K]</t>
  </si>
  <si>
    <t>T sink °C</t>
  </si>
  <si>
    <t>Carnot</t>
  </si>
  <si>
    <t>Arpagaus 2018</t>
  </si>
  <si>
    <t>Area</t>
  </si>
  <si>
    <r>
      <t>[10</t>
    </r>
    <r>
      <rPr>
        <vertAlign val="superscript"/>
        <sz val="12"/>
        <color theme="1"/>
        <rFont val="ArialMT"/>
      </rPr>
      <t>3</t>
    </r>
    <r>
      <rPr>
        <sz val="12"/>
        <color theme="1"/>
        <rFont val="ArialMT"/>
        <family val="2"/>
      </rPr>
      <t>km</t>
    </r>
    <r>
      <rPr>
        <vertAlign val="superscript"/>
        <sz val="12"/>
        <color theme="1"/>
        <rFont val="ArialMT"/>
      </rPr>
      <t>2</t>
    </r>
    <r>
      <rPr>
        <sz val="12"/>
        <color theme="1"/>
        <rFont val="ArialMT"/>
        <family val="2"/>
      </rPr>
      <t>]</t>
    </r>
  </si>
  <si>
    <t>Cumulative Capcity</t>
  </si>
  <si>
    <t>[GtCO2]</t>
  </si>
  <si>
    <t>Annual storage potential</t>
  </si>
  <si>
    <t>Total</t>
  </si>
  <si>
    <t>[GtCO2/a]</t>
  </si>
  <si>
    <t>Conservative assumption</t>
  </si>
  <si>
    <t>Ethiopia</t>
  </si>
  <si>
    <t>Siberia</t>
  </si>
  <si>
    <t>SE Asia/Indonesia</t>
  </si>
  <si>
    <t>Deccan</t>
  </si>
  <si>
    <t>Japan/East Russia</t>
  </si>
  <si>
    <t>Astralia/Tasmania</t>
  </si>
  <si>
    <t>Central America</t>
  </si>
  <si>
    <t>Emeishan Traps, China</t>
  </si>
  <si>
    <t>Arabian Peninsula</t>
  </si>
  <si>
    <t>South Africa</t>
  </si>
  <si>
    <t>Patagonia</t>
  </si>
  <si>
    <t>Tarim Basin, China</t>
  </si>
  <si>
    <t>Kamchatka</t>
  </si>
  <si>
    <t>Greenland</t>
  </si>
  <si>
    <t>Cascade/Snake River</t>
  </si>
  <si>
    <t>Samail ophiolite, mantle section</t>
  </si>
  <si>
    <t>New Caledonia ophiolite, mantle</t>
  </si>
  <si>
    <t>Papuan ophiolite, mantle</t>
  </si>
  <si>
    <t>Trinity ophiolite, mantle</t>
  </si>
  <si>
    <t>Oelkers 2023</t>
  </si>
  <si>
    <t>In-situ mineralisation onshore</t>
  </si>
  <si>
    <t>In-situ mineralisation offshore</t>
  </si>
  <si>
    <t>Ex-situ mineralisation industrial waste</t>
  </si>
  <si>
    <t>Ex-situ mineralisation mined rocks</t>
  </si>
  <si>
    <t>Buffered accelerated weathering of limestone</t>
  </si>
  <si>
    <t>Enhanced weathering</t>
  </si>
  <si>
    <t>2030 (54%)</t>
  </si>
  <si>
    <t>2040 (58%)</t>
  </si>
  <si>
    <t>2050 (62%)</t>
  </si>
  <si>
    <t>2060 (66%)</t>
  </si>
  <si>
    <t>2070 (70%)</t>
  </si>
  <si>
    <t>T source [K]</t>
  </si>
  <si>
    <t>€[2022]/kW,th</t>
  </si>
  <si>
    <t>% of Capex</t>
  </si>
  <si>
    <t>Mahdi</t>
  </si>
  <si>
    <t>Arpagaus 2018 (below)</t>
  </si>
  <si>
    <t>€/kW,th</t>
  </si>
  <si>
    <t>€[2022]/kWh,th</t>
  </si>
  <si>
    <t>Availability</t>
  </si>
  <si>
    <t>€[2020]/kWh</t>
  </si>
  <si>
    <t>€[2020]/MWh</t>
  </si>
  <si>
    <t>LCOHT,LT</t>
  </si>
  <si>
    <t>LCOHT,LT x energy</t>
  </si>
  <si>
    <t>Heat,HP @100°C cost</t>
  </si>
  <si>
    <t>Open pit mining</t>
  </si>
  <si>
    <t>Feedstock</t>
  </si>
  <si>
    <t>MININ Regional storage potential</t>
  </si>
  <si>
    <t>North America</t>
  </si>
  <si>
    <t>Eurasia</t>
  </si>
  <si>
    <t>Southeast asia and the Pacific</t>
  </si>
  <si>
    <t>South and central america</t>
  </si>
  <si>
    <t>Europe</t>
  </si>
  <si>
    <t>Northeast Asia</t>
  </si>
  <si>
    <t>Sub-saharan Africa</t>
  </si>
  <si>
    <t>Middle East and North Africa</t>
  </si>
  <si>
    <t>Southasian association for regional cooperation</t>
  </si>
  <si>
    <t>LUT-ESTM 9 Major Regions</t>
  </si>
  <si>
    <t>Cumulative storage potential</t>
  </si>
  <si>
    <t>LUT-ESTM Major Region</t>
  </si>
  <si>
    <t>Sub-Saharan Africa</t>
  </si>
  <si>
    <t>GtCO2</t>
  </si>
  <si>
    <t>GtCO2/a</t>
  </si>
  <si>
    <t>MAJOR REGIONS</t>
  </si>
  <si>
    <t>Parameter:</t>
  </si>
  <si>
    <t>Unit:</t>
  </si>
  <si>
    <t>million ton</t>
  </si>
  <si>
    <t>Order</t>
  </si>
  <si>
    <t>Regions</t>
  </si>
  <si>
    <t>MENA</t>
  </si>
  <si>
    <t>SSA</t>
  </si>
  <si>
    <t>SAARC</t>
  </si>
  <si>
    <t>Southeast Asia</t>
  </si>
  <si>
    <t>South America</t>
  </si>
  <si>
    <t>LUT-DEES</t>
  </si>
  <si>
    <t>CO2 mineralisation potential</t>
  </si>
  <si>
    <t>Cement production</t>
  </si>
  <si>
    <t>Steel production</t>
  </si>
  <si>
    <t>Aluminium production</t>
  </si>
  <si>
    <t>Pulp and paper production</t>
  </si>
  <si>
    <t>Useful share</t>
  </si>
  <si>
    <t>Waste production</t>
  </si>
  <si>
    <t>Weathering potential</t>
  </si>
  <si>
    <t>%</t>
  </si>
  <si>
    <t>t/t</t>
  </si>
  <si>
    <t>tCO2/t</t>
  </si>
  <si>
    <t>Waste:</t>
  </si>
  <si>
    <t>Reference:</t>
  </si>
  <si>
    <t>Renforth 2019</t>
  </si>
  <si>
    <t>Steel slag</t>
  </si>
  <si>
    <t>Cement kiln dust</t>
  </si>
  <si>
    <t>Red mud</t>
  </si>
  <si>
    <t>CO2 mineralisation potential using industrial wastes - total</t>
  </si>
  <si>
    <t>Overestimation due to secondary steel production in the future?</t>
  </si>
  <si>
    <t>Total CO2 mineralisation potential</t>
  </si>
  <si>
    <t>Parana, Brazil</t>
  </si>
  <si>
    <t>E Canada</t>
  </si>
  <si>
    <t>Ref: EU Carbfix Project Report, adjusted to Oelkers 2023 methodology</t>
  </si>
  <si>
    <t>Reference if different from Oelkers 2023</t>
  </si>
  <si>
    <t>Harmonised wording</t>
  </si>
  <si>
    <t>Beerling 2020</t>
  </si>
  <si>
    <t>€[2020]/(tOre/a)</t>
  </si>
  <si>
    <t>$[2020]/(tOre/a)</t>
  </si>
  <si>
    <t>$[2020]/tOre</t>
  </si>
  <si>
    <t>€[2020]/tOre</t>
  </si>
  <si>
    <t>MWh,el/tOre</t>
  </si>
  <si>
    <t>Assumption</t>
  </si>
  <si>
    <t>Road transportation - 40t HGV electric payload</t>
  </si>
  <si>
    <t>Initial diameter</t>
  </si>
  <si>
    <t>Final diameter [um]</t>
  </si>
  <si>
    <t>Electricity demand [kWh/tOre]</t>
  </si>
  <si>
    <t>Cost</t>
  </si>
  <si>
    <t>kWh/tOre</t>
  </si>
  <si>
    <t>Energy demand bandwidth</t>
  </si>
  <si>
    <t>Range, Mining and crushing</t>
  </si>
  <si>
    <t>Goll 2021</t>
  </si>
  <si>
    <t>Based on cropland availability</t>
  </si>
  <si>
    <t>Country</t>
  </si>
  <si>
    <t>LUT-ESTM region</t>
  </si>
  <si>
    <t>United States</t>
  </si>
  <si>
    <t>China</t>
  </si>
  <si>
    <t>Russia</t>
  </si>
  <si>
    <t>Brazil</t>
  </si>
  <si>
    <t>Indonesia</t>
  </si>
  <si>
    <t>Nigeria</t>
  </si>
  <si>
    <t>Argentina</t>
  </si>
  <si>
    <t>Canada</t>
  </si>
  <si>
    <t>Ukraine</t>
  </si>
  <si>
    <t>Pakistan</t>
  </si>
  <si>
    <t>Australia</t>
  </si>
  <si>
    <t>Kazakhstan</t>
  </si>
  <si>
    <t>Mexico</t>
  </si>
  <si>
    <t>Turkey</t>
  </si>
  <si>
    <t>Thailand</t>
  </si>
  <si>
    <t>Sudan</t>
  </si>
  <si>
    <t>France</t>
  </si>
  <si>
    <t>Niger</t>
  </si>
  <si>
    <t>Iran</t>
  </si>
  <si>
    <t>Cropland area (hectares)</t>
  </si>
  <si>
    <t>Tanzania</t>
  </si>
  <si>
    <t>DR Congo</t>
  </si>
  <si>
    <t>Myanmar</t>
  </si>
  <si>
    <t>Germany</t>
  </si>
  <si>
    <t>Vietnam</t>
  </si>
  <si>
    <t>Poland</t>
  </si>
  <si>
    <t>Philippines</t>
  </si>
  <si>
    <t>Morocco</t>
  </si>
  <si>
    <t>Uganda</t>
  </si>
  <si>
    <t>Romania</t>
  </si>
  <si>
    <t>Bangladesh</t>
  </si>
  <si>
    <t>Algeria</t>
  </si>
  <si>
    <t>Malaysia</t>
  </si>
  <si>
    <t>Côte d'Ivoire</t>
  </si>
  <si>
    <t>Afghanistan</t>
  </si>
  <si>
    <t>Cameroon</t>
  </si>
  <si>
    <t>Ghana</t>
  </si>
  <si>
    <t>Mali</t>
  </si>
  <si>
    <t>Kenya</t>
  </si>
  <si>
    <t>United Kingdom</t>
  </si>
  <si>
    <t>Burkina Faso</t>
  </si>
  <si>
    <t>Mozambique</t>
  </si>
  <si>
    <t>Belarus</t>
  </si>
  <si>
    <t>Syria</t>
  </si>
  <si>
    <t>Iraq</t>
  </si>
  <si>
    <t>Chad</t>
  </si>
  <si>
    <t>Angola</t>
  </si>
  <si>
    <t>Tunisia</t>
  </si>
  <si>
    <t>Paraguay</t>
  </si>
  <si>
    <t>Peru</t>
  </si>
  <si>
    <t>Hungary</t>
  </si>
  <si>
    <t>Bolivia</t>
  </si>
  <si>
    <t>Japan</t>
  </si>
  <si>
    <t>Uzbekistan</t>
  </si>
  <si>
    <t>Zimbabwe</t>
  </si>
  <si>
    <t>Cambodia</t>
  </si>
  <si>
    <t>Zambia</t>
  </si>
  <si>
    <t>Colombia</t>
  </si>
  <si>
    <t>Guinea</t>
  </si>
  <si>
    <t>Malawi</t>
  </si>
  <si>
    <t>Egypt</t>
  </si>
  <si>
    <t>Bulgaria</t>
  </si>
  <si>
    <t>Saudi Arabia</t>
  </si>
  <si>
    <t>Madagascar</t>
  </si>
  <si>
    <t>Cuba</t>
  </si>
  <si>
    <t>Benin</t>
  </si>
  <si>
    <t>Venezuela</t>
  </si>
  <si>
    <t>Senegal</t>
  </si>
  <si>
    <t>Togo</t>
  </si>
  <si>
    <t>Serbia</t>
  </si>
  <si>
    <t>South Sudan</t>
  </si>
  <si>
    <t>North Korea</t>
  </si>
  <si>
    <t>Sweden</t>
  </si>
  <si>
    <t>Czech Republic (Czechia)</t>
  </si>
  <si>
    <t>Uruguay</t>
  </si>
  <si>
    <t>Ecuador</t>
  </si>
  <si>
    <t>Denmark</t>
  </si>
  <si>
    <t>Azerbaijan</t>
  </si>
  <si>
    <t>Nepal</t>
  </si>
  <si>
    <t>Sri Lanka</t>
  </si>
  <si>
    <t>Lithuania</t>
  </si>
  <si>
    <t>Libya</t>
  </si>
  <si>
    <t>Guatemala</t>
  </si>
  <si>
    <t>Turkmenistan</t>
  </si>
  <si>
    <t>Moldova</t>
  </si>
  <si>
    <t>Central African Republic</t>
  </si>
  <si>
    <t>Nicaragua</t>
  </si>
  <si>
    <t>Sierra Leone</t>
  </si>
  <si>
    <t>Chile</t>
  </si>
  <si>
    <t>Laos</t>
  </si>
  <si>
    <t>Honduras</t>
  </si>
  <si>
    <t>Portugal</t>
  </si>
  <si>
    <t>South Korea</t>
  </si>
  <si>
    <t>Burundi</t>
  </si>
  <si>
    <t>Rwanda</t>
  </si>
  <si>
    <t>Austria</t>
  </si>
  <si>
    <t>Yemen</t>
  </si>
  <si>
    <t>Kyrgyzstan</t>
  </si>
  <si>
    <t>Slovakia</t>
  </si>
  <si>
    <t>Haiti</t>
  </si>
  <si>
    <t>Latvia</t>
  </si>
  <si>
    <t>Bosnia and Herzegovina</t>
  </si>
  <si>
    <t>Dominican Republic</t>
  </si>
  <si>
    <t>Somalia</t>
  </si>
  <si>
    <t>Netherlands</t>
  </si>
  <si>
    <t>Papua New Guinea</t>
  </si>
  <si>
    <t>El Salvador</t>
  </si>
  <si>
    <t>Croatia</t>
  </si>
  <si>
    <t>Tajikistan</t>
  </si>
  <si>
    <t>Belgium</t>
  </si>
  <si>
    <t>Namibia</t>
  </si>
  <si>
    <t>Taiwan</t>
  </si>
  <si>
    <t>Panama</t>
  </si>
  <si>
    <t>Liberia</t>
  </si>
  <si>
    <t>Eritrea</t>
  </si>
  <si>
    <t>Albania</t>
  </si>
  <si>
    <t>Estonia</t>
  </si>
  <si>
    <t>New Zealand</t>
  </si>
  <si>
    <t>Congo</t>
  </si>
  <si>
    <t>Mongolia</t>
  </si>
  <si>
    <t>Costa Rica</t>
  </si>
  <si>
    <t>Guinea-Bissau</t>
  </si>
  <si>
    <t>Armenia</t>
  </si>
  <si>
    <t>Gabon</t>
  </si>
  <si>
    <t>Israel</t>
  </si>
  <si>
    <t>Guyana</t>
  </si>
  <si>
    <t>North Macedonia</t>
  </si>
  <si>
    <t>Gambia</t>
  </si>
  <si>
    <t>Georgia</t>
  </si>
  <si>
    <t>Ireland</t>
  </si>
  <si>
    <t>Switzerland</t>
  </si>
  <si>
    <t>Lesotho</t>
  </si>
  <si>
    <t>Mauritania</t>
  </si>
  <si>
    <t>Jordan</t>
  </si>
  <si>
    <t>Botswana</t>
  </si>
  <si>
    <t>Lebanon</t>
  </si>
  <si>
    <t>Fiji</t>
  </si>
  <si>
    <t>Slovenia</t>
  </si>
  <si>
    <t>Timor-Leste</t>
  </si>
  <si>
    <t>Jamaica</t>
  </si>
  <si>
    <t>Eswatini</t>
  </si>
  <si>
    <t>Equatorial Guinea</t>
  </si>
  <si>
    <t>State of Palestine</t>
  </si>
  <si>
    <t>Vanuatu</t>
  </si>
  <si>
    <t>Cyprus</t>
  </si>
  <si>
    <t>Belize</t>
  </si>
  <si>
    <t>Comoros</t>
  </si>
  <si>
    <t>Puerto Rico</t>
  </si>
  <si>
    <t>Bhutan</t>
  </si>
  <si>
    <t>Oman</t>
  </si>
  <si>
    <t>Solomon Islands</t>
  </si>
  <si>
    <t>United Arab Emirates</t>
  </si>
  <si>
    <t>Mauritius</t>
  </si>
  <si>
    <t>Suriname</t>
  </si>
  <si>
    <t>Luxembourg</t>
  </si>
  <si>
    <t>Cabo Verde</t>
  </si>
  <si>
    <t>Trinidad and Tobago</t>
  </si>
  <si>
    <t>Sao Tome &amp; Principe</t>
  </si>
  <si>
    <t>Réunion</t>
  </si>
  <si>
    <t>Kiribati</t>
  </si>
  <si>
    <t>Samoa</t>
  </si>
  <si>
    <t>Tonga</t>
  </si>
  <si>
    <t>Guadeloupe</t>
  </si>
  <si>
    <t>French Polynesia</t>
  </si>
  <si>
    <t>Dominica</t>
  </si>
  <si>
    <t>Isle of Man</t>
  </si>
  <si>
    <t>Mayotte</t>
  </si>
  <si>
    <t>Micronesia</t>
  </si>
  <si>
    <t>French Guiana</t>
  </si>
  <si>
    <t>Qatar</t>
  </si>
  <si>
    <t>Kuwait</t>
  </si>
  <si>
    <t>Martinique</t>
  </si>
  <si>
    <t>Montenegro</t>
  </si>
  <si>
    <t>Bahamas</t>
  </si>
  <si>
    <t>Brunei </t>
  </si>
  <si>
    <t>Malta</t>
  </si>
  <si>
    <t>New Caledonia</t>
  </si>
  <si>
    <t>Guam</t>
  </si>
  <si>
    <t>Saint Lucia</t>
  </si>
  <si>
    <t>Marshall Islands</t>
  </si>
  <si>
    <t>St. Vincent &amp; Grenadines</t>
  </si>
  <si>
    <t>Barbados</t>
  </si>
  <si>
    <t>Grenada</t>
  </si>
  <si>
    <t>Maldives</t>
  </si>
  <si>
    <t>Wallis &amp; Futuna</t>
  </si>
  <si>
    <t>Saint Kitts &amp; Nevis</t>
  </si>
  <si>
    <t>Antigua and Barbuda</t>
  </si>
  <si>
    <t>American Samoa</t>
  </si>
  <si>
    <t>Bahrain</t>
  </si>
  <si>
    <t>Hong Kong</t>
  </si>
  <si>
    <t>Niue</t>
  </si>
  <si>
    <t>Western Sahara</t>
  </si>
  <si>
    <t>Channel Islands</t>
  </si>
  <si>
    <t>Palau</t>
  </si>
  <si>
    <t>Faeroe Islands</t>
  </si>
  <si>
    <t>Liechtenstein</t>
  </si>
  <si>
    <t>Montserrat</t>
  </si>
  <si>
    <t>Saint Pierre &amp; Miquelon</t>
  </si>
  <si>
    <t>British Virgin Islands</t>
  </si>
  <si>
    <t>Northern Mariana Islands</t>
  </si>
  <si>
    <t>U.S. Virgin Islands</t>
  </si>
  <si>
    <t>Aruba</t>
  </si>
  <si>
    <t>Djibouti</t>
  </si>
  <si>
    <t>Tuvalu</t>
  </si>
  <si>
    <t>Seychelles</t>
  </si>
  <si>
    <t>Cook Islands</t>
  </si>
  <si>
    <t>San Marino</t>
  </si>
  <si>
    <t>Turks and Caicos</t>
  </si>
  <si>
    <t>Andorra</t>
  </si>
  <si>
    <t>Cayman Islands</t>
  </si>
  <si>
    <t>Singapore</t>
  </si>
  <si>
    <t>Tokelau</t>
  </si>
  <si>
    <t>Nauru</t>
  </si>
  <si>
    <t>Bermuda</t>
  </si>
  <si>
    <t>low</t>
  </si>
  <si>
    <t>high</t>
  </si>
  <si>
    <t>Footprint</t>
  </si>
  <si>
    <t>tCO2/a/ha</t>
  </si>
  <si>
    <t>Low</t>
  </si>
  <si>
    <t>High</t>
  </si>
  <si>
    <t>Basalt application</t>
  </si>
  <si>
    <t>t/a/ha</t>
  </si>
  <si>
    <t>Mineralisation efficiency</t>
  </si>
  <si>
    <t>tCO2/tRock</t>
  </si>
  <si>
    <t>EW potential (GtCO2/a)</t>
  </si>
  <si>
    <t>Discrepancy</t>
  </si>
  <si>
    <t>Average</t>
  </si>
  <si>
    <t>https://www.worldometers.info/food-agriculture/cropland-by-country/</t>
  </si>
  <si>
    <t>Max Potential</t>
  </si>
  <si>
    <t>Mid Point</t>
  </si>
  <si>
    <t>Logistic Growth</t>
  </si>
  <si>
    <t>W Energy</t>
  </si>
  <si>
    <t>w/o Energy</t>
  </si>
  <si>
    <t>w/ Energy &amp; DAC</t>
  </si>
  <si>
    <t>Energy</t>
  </si>
  <si>
    <t>DAC</t>
  </si>
  <si>
    <t>LCO w/ DAC</t>
  </si>
  <si>
    <t>LT-DAC</t>
  </si>
  <si>
    <t>LTDAC</t>
  </si>
  <si>
    <t>LCO w/ Energy</t>
  </si>
  <si>
    <t>LCO w/o energy</t>
  </si>
  <si>
    <t>LCO w/o Energy</t>
  </si>
  <si>
    <t>LCO w/o energy w/o commodities</t>
  </si>
  <si>
    <t>LCO w/o commodities</t>
  </si>
  <si>
    <t>LCO w DAC</t>
  </si>
  <si>
    <t>Primary Energy Demand [kWh/tCO2]</t>
  </si>
  <si>
    <t>MWh,th/tOre</t>
  </si>
  <si>
    <t>USD[2015]/(tRock/a)</t>
  </si>
  <si>
    <t>USD[2015]/(tRock)</t>
  </si>
  <si>
    <t>Mean transportation distance assumption</t>
  </si>
  <si>
    <t>km</t>
  </si>
  <si>
    <t>$[2015]/(tRock/km)</t>
  </si>
  <si>
    <t>€[2020]/(tRock/km)</t>
  </si>
  <si>
    <t>kWh/km/tRock</t>
  </si>
  <si>
    <t>€[2020]/tRock/km</t>
  </si>
  <si>
    <t>MWh/km/tRock</t>
  </si>
  <si>
    <t>Distance (km)</t>
  </si>
  <si>
    <t>Cost of transportation</t>
  </si>
  <si>
    <t>Strefler 2018 based on Renforth</t>
  </si>
  <si>
    <t>$[2020]/(tRock/a)</t>
  </si>
  <si>
    <t>$[2020]/tRock</t>
  </si>
  <si>
    <t>€[2020]/(tRock/a)</t>
  </si>
  <si>
    <t>€[2020]/tRock</t>
  </si>
  <si>
    <t>MWh,el/tRock</t>
  </si>
  <si>
    <t>MWh,th/tRock</t>
  </si>
  <si>
    <t>€[2020]/km/tRock</t>
  </si>
  <si>
    <t>Rock feedstock demand</t>
  </si>
  <si>
    <t>tRock/tCO2</t>
  </si>
  <si>
    <t>Carbon efficiency</t>
  </si>
  <si>
    <t>Rock handling</t>
  </si>
  <si>
    <t>€/tRock</t>
  </si>
  <si>
    <t>Kelemen 2019</t>
  </si>
  <si>
    <t>Included in feedstock preparation</t>
  </si>
  <si>
    <t>„The CO2 uptake and storage capacity for complete carbonation in these materials is significant: 0.62 tons of CO2 per ton of olivine reactant, 0.76 tons of CO2 per ton of brucite reactant, and ~0.4 to 0.5 tons of CO2 per ton of pyroxene, serpentine, wollastonite, and industrial waste similar to wollastonite in composition“ (Kelemen et al., 2020, p. 4)</t>
  </si>
  <si>
    <t>Total PE</t>
  </si>
  <si>
    <t>Aatos et al. 2006</t>
  </si>
  <si>
    <t>Feedstock handling</t>
  </si>
  <si>
    <t>Carbonation process</t>
  </si>
  <si>
    <t>Heat LT</t>
  </si>
  <si>
    <t>Heat MT</t>
  </si>
  <si>
    <t>Final energy demand [kWh/tCO2]</t>
  </si>
  <si>
    <t>Transport distance</t>
  </si>
  <si>
    <t>Feedstock demand</t>
  </si>
  <si>
    <t>Electricity demand feedstock handling</t>
  </si>
  <si>
    <t>kWh/tRock</t>
  </si>
  <si>
    <t>kWh/tRock/km</t>
  </si>
  <si>
    <t>Total Serpentine</t>
  </si>
  <si>
    <t>Total Olivine</t>
  </si>
  <si>
    <t>kWh/tCO2</t>
  </si>
  <si>
    <t>Electricity: FE -&gt; PE Factor [Mühlbauer 2023]</t>
  </si>
  <si>
    <t>Sensitivity analysis</t>
  </si>
  <si>
    <t>Distance</t>
  </si>
  <si>
    <t>Electricity demand</t>
  </si>
  <si>
    <t>Grain size</t>
  </si>
  <si>
    <t>Share weathered</t>
  </si>
  <si>
    <t>pH</t>
  </si>
  <si>
    <t>Temp</t>
  </si>
  <si>
    <t>Specific Surface Grain Size</t>
  </si>
  <si>
    <t>Basalt</t>
  </si>
  <si>
    <t>Dunite</t>
  </si>
  <si>
    <t>Weathering Rate</t>
  </si>
  <si>
    <t>Weathering Efficiency</t>
  </si>
  <si>
    <t>Mass rock application</t>
  </si>
  <si>
    <t>m2/g</t>
  </si>
  <si>
    <t>Time</t>
  </si>
  <si>
    <t>s</t>
  </si>
  <si>
    <t>CO2 uptake - kgCO2</t>
  </si>
  <si>
    <t>Dissolution rate</t>
  </si>
  <si>
    <t>Feedsize</t>
  </si>
  <si>
    <t>um</t>
  </si>
  <si>
    <t>in-situ, onshore</t>
  </si>
  <si>
    <t>in-situ, offshore</t>
  </si>
  <si>
    <t>ex-situ, serpentine</t>
  </si>
  <si>
    <t>ex-situ, olivine</t>
  </si>
  <si>
    <t>ex-situ, waste</t>
  </si>
  <si>
    <t>CDR Demand for 1.5°C [GtCO2/a]</t>
  </si>
  <si>
    <t>CDR Demand for 1.0°C [GtCO2/a]</t>
  </si>
  <si>
    <t>Cost [€/tCO2]</t>
  </si>
  <si>
    <t>Share</t>
  </si>
  <si>
    <t>Primary energy demand [MWh/tCO2]</t>
  </si>
  <si>
    <t>1.0°C pathway</t>
  </si>
  <si>
    <t>1.5°C pathway</t>
  </si>
  <si>
    <t>Total cost [b€/a]</t>
  </si>
  <si>
    <t>Results as share of GDP or Total primary energy demand</t>
  </si>
  <si>
    <t>Total primary energy demand [PWh/a]</t>
  </si>
  <si>
    <t>GDP projection [b€/a] x CDR</t>
  </si>
  <si>
    <t>Total GDP projection - LUT DEES</t>
  </si>
  <si>
    <t>TPED projection [PWh/a] x CDR</t>
  </si>
  <si>
    <t>Total Primary Energy demand projection - LUT DEES</t>
  </si>
  <si>
    <t>Total cost [% in GDP]</t>
  </si>
  <si>
    <t>Total primary energy demand [additional % GDP]</t>
  </si>
  <si>
    <t>Results table</t>
  </si>
  <si>
    <t>Share in projected GDP [%]</t>
  </si>
  <si>
    <t>1.5°C</t>
  </si>
  <si>
    <t>Temperature trajectory</t>
  </si>
  <si>
    <t>1.0°C</t>
  </si>
  <si>
    <t>Share in projected total primary energy demand [%]</t>
  </si>
  <si>
    <t>* Corresponding authors: dominik.keiner@lut.fi, christian.breyer@lut.fi</t>
  </si>
  <si>
    <t>Supplementary material 2</t>
  </si>
  <si>
    <t>Techno-economic insights and deployment prospects of permanent carbon dioxide sequestration in solid carbonates</t>
  </si>
  <si>
    <r>
      <t>Andreas Mühlbauer</t>
    </r>
    <r>
      <rPr>
        <vertAlign val="superscript"/>
        <sz val="12"/>
        <color theme="1"/>
        <rFont val="Arial Narrow"/>
        <family val="2"/>
      </rPr>
      <t>1,2</t>
    </r>
    <r>
      <rPr>
        <sz val="12"/>
        <color theme="1"/>
        <rFont val="Arial Narrow"/>
        <family val="2"/>
      </rPr>
      <t>, Dominik Keiner</t>
    </r>
    <r>
      <rPr>
        <vertAlign val="superscript"/>
        <sz val="12"/>
        <color theme="1"/>
        <rFont val="Arial Narrow"/>
        <family val="2"/>
      </rPr>
      <t>2,</t>
    </r>
    <r>
      <rPr>
        <sz val="12"/>
        <color theme="1"/>
        <rFont val="Arial Narrow"/>
        <family val="2"/>
      </rPr>
      <t>*, Christian Breyer</t>
    </r>
    <r>
      <rPr>
        <vertAlign val="superscript"/>
        <sz val="12"/>
        <color theme="1"/>
        <rFont val="Arial Narrow"/>
        <family val="2"/>
      </rPr>
      <t>2,</t>
    </r>
    <r>
      <rPr>
        <sz val="12"/>
        <color theme="1"/>
        <rFont val="Arial Narrow"/>
        <family val="2"/>
      </rPr>
      <t>*</t>
    </r>
  </si>
  <si>
    <r>
      <rPr>
        <vertAlign val="superscript"/>
        <sz val="12"/>
        <color theme="1"/>
        <rFont val="Arial Narrow"/>
        <family val="2"/>
      </rPr>
      <t>1</t>
    </r>
    <r>
      <rPr>
        <sz val="12"/>
        <color theme="1"/>
        <rFont val="Arial Narrow"/>
        <family val="2"/>
      </rPr>
      <t xml:space="preserve"> Dept. Of Civil and Environmental Engineering, Stanford University, Stanford, CA, 94305, US</t>
    </r>
  </si>
  <si>
    <r>
      <rPr>
        <vertAlign val="superscript"/>
        <sz val="12"/>
        <color theme="1"/>
        <rFont val="Arial Narrow"/>
        <family val="2"/>
      </rPr>
      <t>2</t>
    </r>
    <r>
      <rPr>
        <sz val="12"/>
        <color theme="1"/>
        <rFont val="Arial Narrow"/>
        <family val="2"/>
      </rPr>
      <t xml:space="preserve"> School of Energy Systems, LUT University, Yliopistonkatu 34, 53850 Lappeenranta, Finland</t>
    </r>
  </si>
  <si>
    <t>Contents</t>
  </si>
  <si>
    <t>Results</t>
  </si>
  <si>
    <t>Sheet</t>
  </si>
  <si>
    <t>Explanation</t>
  </si>
  <si>
    <t>OverviewResults</t>
  </si>
  <si>
    <t>Overview and result figures for final energy demand, primary energy demand and levelised cost of CDR (LCOCDR).</t>
  </si>
  <si>
    <t>Calculations/Methods</t>
  </si>
  <si>
    <t>Mühlbauer 2024</t>
  </si>
  <si>
    <t>TotalCost&amp;Energy</t>
  </si>
  <si>
    <t>Calculations and results for energy demand and levelised cost compared to projections for total primary energy demand and gross domestic product.</t>
  </si>
  <si>
    <t>Global assumptions for this work.</t>
  </si>
  <si>
    <t>Cost and energy calculations for in-situ mineralisation.</t>
  </si>
  <si>
    <t>Cost and energy calculations for ex-situ mineralisation.</t>
  </si>
  <si>
    <t>Cost and energy calculations for enhanced weathering.</t>
  </si>
  <si>
    <t>Cost and energy calculations for direct air carbon dioxide capture.</t>
  </si>
  <si>
    <t>Heat Pump</t>
  </si>
  <si>
    <t>Cost and energy calculations for heat pumps.</t>
  </si>
  <si>
    <t>MININ_Pot</t>
  </si>
  <si>
    <t>Aggregation and harmonisation of data on the potential of in-situ mineralisation.</t>
  </si>
  <si>
    <t>MINEX_IW_Pot</t>
  </si>
  <si>
    <t>Aggregation and harmonisation of data on the potential of ex-situ mineralisation using industrial solid waste.</t>
  </si>
  <si>
    <t>EW_Pot</t>
  </si>
  <si>
    <t>Aggregation and harmonisation of data on the potential of enhanced weathering.</t>
  </si>
  <si>
    <t>Cost and energy calculations for rock mining.</t>
  </si>
  <si>
    <t>Cost and energy calculations for rock transportation.</t>
  </si>
  <si>
    <t>Cost and energy calculations for rock comminution.</t>
  </si>
  <si>
    <t>Rock Handling</t>
  </si>
  <si>
    <t>Conversion</t>
  </si>
  <si>
    <t>Learning</t>
  </si>
  <si>
    <t>Energy calculations for rock handling for enhanced weathering.</t>
  </si>
  <si>
    <t>Conversion factors for inflation correction.</t>
  </si>
  <si>
    <t>Learning rate approach for technologies (considered only of ex-situ mineralisation).</t>
  </si>
  <si>
    <t>References</t>
  </si>
  <si>
    <t>References considered for this supplementary material.</t>
  </si>
  <si>
    <t>Setting the Pace for a Sustainable Energy Transition in Central Africa: The Case of Cameroon</t>
  </si>
  <si>
    <t>https://doi.org/10.1109/ACCESS.2021.3121000</t>
  </si>
  <si>
    <t>https://doi.org/10.1016/j.energy.2021.120467</t>
  </si>
  <si>
    <t>Low-cost renewable electricity as the key driver of the global energy transition towards sustainability</t>
  </si>
  <si>
    <t>An Overview of the Status and Challenges of CO2 Storage in Minerals and Geological Formations</t>
  </si>
  <si>
    <t>Mühlbauer</t>
  </si>
  <si>
    <t>Assessment of technologies and economics for carbon dioxide removal from a portfolio
perspective</t>
  </si>
  <si>
    <t>submitted</t>
  </si>
  <si>
    <t>Injection rate</t>
  </si>
  <si>
    <t>km2/(MtCO2/a)</t>
  </si>
  <si>
    <t>Wijaya 2022</t>
  </si>
  <si>
    <t>Sensitvity - Cost</t>
  </si>
  <si>
    <t>Sensitivity - Potential</t>
  </si>
  <si>
    <t>Sensitivity multiplier</t>
  </si>
  <si>
    <t>Sensitivity - total cost</t>
  </si>
  <si>
    <t>Sensitivity - total cost - MINEX - Serpentine</t>
  </si>
  <si>
    <t>MINEX - Serpentine</t>
  </si>
  <si>
    <t>Opex fix</t>
  </si>
  <si>
    <t>For sensitivity</t>
  </si>
  <si>
    <t>Heat demand</t>
  </si>
  <si>
    <t>Sensitivity - total cost - EW</t>
  </si>
  <si>
    <t>Sensitivity - cost - DAC</t>
  </si>
  <si>
    <t>Sensitivity on annual injection rate</t>
  </si>
  <si>
    <t>Sensitivity - Basalt application</t>
  </si>
  <si>
    <t>Sensitivity analysis - distance for EW - serpentine</t>
  </si>
  <si>
    <t>km distance</t>
  </si>
  <si>
    <t>absolute energy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</si>
</sst>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
  </numFmts>
  <fonts count="23">
    <font>
      <sz val="12"/>
      <color theme="1"/>
      <name val="ArialMT"/>
      <family val="2"/>
    </font>
    <font>
      <sz val="12"/>
      <color theme="1"/>
      <name val="ArialMT"/>
      <family val="2"/>
    </font>
    <font>
      <b/>
      <sz val="12"/>
      <color theme="1"/>
      <name val="ArialMT"/>
    </font>
    <font>
      <sz val="12"/>
      <color rgb="FF000000"/>
      <name val="ArialMT"/>
      <family val="2"/>
    </font>
    <font>
      <sz val="12"/>
      <color rgb="FFFF0000"/>
      <name val="ArialMT"/>
      <family val="2"/>
    </font>
    <font>
      <vertAlign val="superscript"/>
      <sz val="12"/>
      <color theme="1"/>
      <name val="ArialMT"/>
    </font>
    <font>
      <u/>
      <sz val="12"/>
      <color theme="10"/>
      <name val="ArialMT"/>
      <family val="2"/>
    </font>
    <font>
      <sz val="11"/>
      <color rgb="FF000000"/>
      <name val="Calibri"/>
      <family val="2"/>
      <scheme val="minor"/>
    </font>
    <font>
      <sz val="11"/>
      <color rgb="FF000000"/>
      <name val="Calibri"/>
      <family val="2"/>
    </font>
    <font>
      <b/>
      <sz val="12"/>
      <color rgb="FF000000"/>
      <name val="ArialMT"/>
    </font>
    <font>
      <sz val="12"/>
      <color rgb="FF000000"/>
      <name val="Arial"/>
      <family val="2"/>
    </font>
    <font>
      <b/>
      <sz val="15"/>
      <color theme="3"/>
      <name val="ArialMT"/>
      <family val="2"/>
    </font>
    <font>
      <b/>
      <sz val="13"/>
      <color theme="3"/>
      <name val="ArialMT"/>
      <family val="2"/>
    </font>
    <font>
      <sz val="12"/>
      <color rgb="FF3F3F76"/>
      <name val="ArialMT"/>
      <family val="2"/>
    </font>
    <font>
      <b/>
      <sz val="12"/>
      <color rgb="FFFA7D00"/>
      <name val="ArialMT"/>
      <family val="2"/>
    </font>
    <font>
      <i/>
      <sz val="12"/>
      <color rgb="FF7F7F7F"/>
      <name val="ArialMT"/>
      <family val="2"/>
    </font>
    <font>
      <b/>
      <sz val="12"/>
      <color theme="1"/>
      <name val="ArialMT"/>
      <family val="2"/>
    </font>
    <font>
      <sz val="12"/>
      <color theme="1"/>
      <name val="Arial Narrow"/>
      <family val="2"/>
    </font>
    <font>
      <b/>
      <sz val="12"/>
      <color theme="1"/>
      <name val="Arial Narrow"/>
      <family val="2"/>
    </font>
    <font>
      <b/>
      <sz val="16"/>
      <color theme="1"/>
      <name val="Arial Narrow"/>
      <family val="2"/>
    </font>
    <font>
      <vertAlign val="superscript"/>
      <sz val="12"/>
      <color theme="1"/>
      <name val="Arial Narrow"/>
      <family val="2"/>
    </font>
    <font>
      <u/>
      <sz val="12"/>
      <color theme="10"/>
      <name val="Arial Narrow"/>
      <family val="2"/>
    </font>
    <font>
      <b/>
      <sz val="12"/>
      <color rgb="FFFF0000"/>
      <name val="ArialMT"/>
    </font>
  </fonts>
  <fills count="1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rgb="FFEDEDED"/>
        <bgColor rgb="FF000000"/>
      </patternFill>
    </fill>
    <fill>
      <patternFill patternType="solid">
        <fgColor rgb="FFCFD1D4"/>
        <bgColor rgb="FF000000"/>
      </patternFill>
    </fill>
    <fill>
      <patternFill patternType="solid">
        <fgColor rgb="FFAEBBCF"/>
        <bgColor rgb="FF000000"/>
      </patternFill>
    </fill>
    <fill>
      <patternFill patternType="solid">
        <fgColor rgb="FFA4867A"/>
        <bgColor rgb="FF000000"/>
      </patternFill>
    </fill>
    <fill>
      <patternFill patternType="solid">
        <fgColor rgb="FF46BE78"/>
        <bgColor rgb="FF000000"/>
      </patternFill>
    </fill>
    <fill>
      <patternFill patternType="solid">
        <fgColor rgb="FFD6CBBC"/>
        <bgColor rgb="FF000000"/>
      </patternFill>
    </fill>
    <fill>
      <patternFill patternType="solid">
        <fgColor rgb="FFE2EFDA"/>
        <bgColor rgb="FF000000"/>
      </patternFill>
    </fill>
    <fill>
      <patternFill patternType="solid">
        <fgColor rgb="FFAEEBF2"/>
        <bgColor rgb="FF000000"/>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4" tint="0.79998168889431442"/>
        <bgColor indexed="64"/>
      </patternFill>
    </fill>
  </fills>
  <borders count="13">
    <border>
      <left/>
      <right/>
      <top/>
      <bottom/>
      <diagonal/>
    </border>
    <border>
      <left/>
      <right style="thin">
        <color indexed="64"/>
      </right>
      <top/>
      <bottom/>
      <diagonal/>
    </border>
    <border>
      <left/>
      <right/>
      <top/>
      <bottom style="thin">
        <color indexed="64"/>
      </bottom>
      <diagonal/>
    </border>
    <border>
      <left/>
      <right/>
      <top/>
      <bottom style="medium">
        <color indexed="64"/>
      </bottom>
      <diagonal/>
    </border>
    <border>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style="thin">
        <color indexed="64"/>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style="thin">
        <color rgb="FF7F7F7F"/>
      </top>
      <bottom/>
      <diagonal/>
    </border>
    <border>
      <left/>
      <right/>
      <top style="thin">
        <color indexed="64"/>
      </top>
      <bottom style="thin">
        <color indexed="64"/>
      </bottom>
      <diagonal/>
    </border>
  </borders>
  <cellStyleXfs count="10">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13" borderId="7" applyNumberFormat="0" applyAlignment="0" applyProtection="0"/>
    <xf numFmtId="0" fontId="14" fillId="14" borderId="7" applyNumberFormat="0" applyAlignment="0" applyProtection="0"/>
    <xf numFmtId="0" fontId="15" fillId="0" borderId="0" applyNumberFormat="0" applyFill="0" applyBorder="0" applyAlignment="0" applyProtection="0"/>
    <xf numFmtId="0" fontId="16" fillId="0" borderId="8" applyNumberFormat="0" applyFill="0" applyAlignment="0" applyProtection="0"/>
    <xf numFmtId="0" fontId="1" fillId="15" borderId="0" applyNumberFormat="0" applyBorder="0" applyAlignment="0" applyProtection="0"/>
  </cellStyleXfs>
  <cellXfs count="104">
    <xf numFmtId="0" fontId="0" fillId="0" borderId="0" xfId="0"/>
    <xf numFmtId="9" fontId="0" fillId="0" borderId="0" xfId="0" applyNumberFormat="1"/>
    <xf numFmtId="0" fontId="0" fillId="0" borderId="0" xfId="0" quotePrefix="1"/>
    <xf numFmtId="0" fontId="2" fillId="0" borderId="0" xfId="0" applyFont="1"/>
    <xf numFmtId="0" fontId="0" fillId="2" borderId="0" xfId="0" applyFill="1"/>
    <xf numFmtId="0" fontId="3" fillId="0" borderId="0" xfId="0" applyFont="1"/>
    <xf numFmtId="165" fontId="0" fillId="0" borderId="0" xfId="1" applyNumberFormat="1" applyFont="1"/>
    <xf numFmtId="164" fontId="0" fillId="2" borderId="0" xfId="0" applyNumberFormat="1" applyFill="1"/>
    <xf numFmtId="2" fontId="0" fillId="0" borderId="0" xfId="0" applyNumberFormat="1"/>
    <xf numFmtId="2" fontId="0" fillId="0" borderId="0" xfId="1" applyNumberFormat="1" applyFont="1"/>
    <xf numFmtId="2" fontId="0" fillId="2" borderId="0" xfId="0" applyNumberFormat="1" applyFill="1"/>
    <xf numFmtId="164" fontId="0" fillId="0" borderId="0" xfId="0" applyNumberFormat="1"/>
    <xf numFmtId="1" fontId="0" fillId="0" borderId="0" xfId="0" applyNumberFormat="1"/>
    <xf numFmtId="0" fontId="2" fillId="2" borderId="0" xfId="0" applyFont="1" applyFill="1"/>
    <xf numFmtId="0" fontId="0" fillId="2" borderId="1" xfId="0" applyFill="1" applyBorder="1"/>
    <xf numFmtId="0" fontId="0" fillId="0" borderId="1" xfId="0" applyBorder="1"/>
    <xf numFmtId="10" fontId="0" fillId="0" borderId="0" xfId="0" applyNumberFormat="1"/>
    <xf numFmtId="0" fontId="0" fillId="2" borderId="2" xfId="0" applyFill="1" applyBorder="1"/>
    <xf numFmtId="0" fontId="0" fillId="2" borderId="0" xfId="0" quotePrefix="1" applyFill="1"/>
    <xf numFmtId="9" fontId="0" fillId="2" borderId="0" xfId="0" applyNumberFormat="1" applyFill="1"/>
    <xf numFmtId="0" fontId="0" fillId="0" borderId="2" xfId="0" applyBorder="1"/>
    <xf numFmtId="0" fontId="0" fillId="2" borderId="2" xfId="0" quotePrefix="1" applyFill="1" applyBorder="1"/>
    <xf numFmtId="9" fontId="0" fillId="2" borderId="2" xfId="0" applyNumberFormat="1" applyFill="1" applyBorder="1"/>
    <xf numFmtId="9" fontId="4" fillId="0" borderId="0" xfId="0" applyNumberFormat="1" applyFont="1"/>
    <xf numFmtId="0" fontId="4" fillId="0" borderId="0" xfId="0" applyFont="1"/>
    <xf numFmtId="0" fontId="0" fillId="3" borderId="0" xfId="0" applyFill="1"/>
    <xf numFmtId="0" fontId="6" fillId="0" borderId="0" xfId="2"/>
    <xf numFmtId="166" fontId="0" fillId="0" borderId="0" xfId="0" applyNumberFormat="1"/>
    <xf numFmtId="9" fontId="0" fillId="0" borderId="0" xfId="1" applyFont="1"/>
    <xf numFmtId="0" fontId="7" fillId="4" borderId="3" xfId="0" applyFont="1" applyFill="1" applyBorder="1" applyAlignment="1">
      <alignment vertical="center"/>
    </xf>
    <xf numFmtId="0" fontId="8" fillId="5" borderId="0" xfId="0" applyFont="1" applyFill="1"/>
    <xf numFmtId="0" fontId="8" fillId="6" borderId="0" xfId="0" applyFont="1" applyFill="1"/>
    <xf numFmtId="0" fontId="7" fillId="4" borderId="0" xfId="0" applyFont="1" applyFill="1" applyAlignment="1">
      <alignment vertical="center"/>
    </xf>
    <xf numFmtId="0" fontId="8" fillId="7" borderId="0" xfId="0" applyFont="1" applyFill="1"/>
    <xf numFmtId="0" fontId="8" fillId="8" borderId="0" xfId="0" applyFont="1" applyFill="1"/>
    <xf numFmtId="0" fontId="8" fillId="9" borderId="0" xfId="0" applyFont="1" applyFill="1"/>
    <xf numFmtId="0" fontId="7" fillId="10" borderId="3" xfId="0" applyFont="1" applyFill="1" applyBorder="1" applyAlignment="1">
      <alignment vertical="center"/>
    </xf>
    <xf numFmtId="0" fontId="8" fillId="11" borderId="0" xfId="0" applyFont="1" applyFill="1"/>
    <xf numFmtId="0" fontId="0" fillId="0" borderId="3" xfId="0" applyBorder="1"/>
    <xf numFmtId="0" fontId="2" fillId="0" borderId="3" xfId="0" applyFont="1" applyBorder="1"/>
    <xf numFmtId="0" fontId="0" fillId="0" borderId="4" xfId="0" applyBorder="1"/>
    <xf numFmtId="0" fontId="0" fillId="0" borderId="1" xfId="0" quotePrefix="1" applyBorder="1"/>
    <xf numFmtId="165" fontId="0" fillId="0" borderId="0" xfId="0" applyNumberFormat="1"/>
    <xf numFmtId="0" fontId="2" fillId="2" borderId="3" xfId="0" applyFont="1" applyFill="1" applyBorder="1"/>
    <xf numFmtId="0" fontId="0" fillId="2" borderId="4" xfId="0" applyFill="1" applyBorder="1"/>
    <xf numFmtId="0" fontId="0" fillId="2" borderId="3" xfId="0" applyFill="1" applyBorder="1"/>
    <xf numFmtId="0" fontId="9" fillId="2" borderId="3" xfId="0" applyFont="1" applyFill="1" applyBorder="1"/>
    <xf numFmtId="0" fontId="10" fillId="4" borderId="3" xfId="0" applyFont="1" applyFill="1" applyBorder="1" applyAlignment="1">
      <alignment vertical="center"/>
    </xf>
    <xf numFmtId="0" fontId="10" fillId="4" borderId="0" xfId="0" applyFont="1" applyFill="1" applyAlignment="1">
      <alignment vertical="center"/>
    </xf>
    <xf numFmtId="0" fontId="10" fillId="10" borderId="3" xfId="0" applyFont="1" applyFill="1" applyBorder="1" applyAlignment="1">
      <alignment vertical="center"/>
    </xf>
    <xf numFmtId="9" fontId="0" fillId="0" borderId="1" xfId="0" applyNumberFormat="1" applyBorder="1"/>
    <xf numFmtId="1" fontId="0" fillId="2" borderId="0" xfId="0" applyNumberFormat="1" applyFill="1"/>
    <xf numFmtId="2" fontId="0" fillId="0" borderId="0" xfId="1" quotePrefix="1" applyNumberFormat="1" applyFont="1"/>
    <xf numFmtId="3" fontId="0" fillId="0" borderId="0" xfId="0" applyNumberFormat="1"/>
    <xf numFmtId="0" fontId="0" fillId="12" borderId="0" xfId="0" applyFill="1"/>
    <xf numFmtId="2" fontId="0" fillId="12" borderId="0" xfId="0" applyNumberFormat="1" applyFill="1"/>
    <xf numFmtId="0" fontId="0" fillId="0" borderId="0" xfId="0" applyAlignment="1">
      <alignment vertical="center"/>
    </xf>
    <xf numFmtId="2" fontId="0" fillId="0" borderId="0" xfId="0" applyNumberFormat="1" applyAlignment="1">
      <alignment vertical="center"/>
    </xf>
    <xf numFmtId="0" fontId="0" fillId="3" borderId="1" xfId="0" applyFill="1" applyBorder="1"/>
    <xf numFmtId="0" fontId="14" fillId="14" borderId="7" xfId="6"/>
    <xf numFmtId="164" fontId="14" fillId="14" borderId="7" xfId="6" applyNumberFormat="1"/>
    <xf numFmtId="164" fontId="16" fillId="2" borderId="8" xfId="8" applyNumberFormat="1" applyFill="1"/>
    <xf numFmtId="2" fontId="14" fillId="14" borderId="7" xfId="6" applyNumberFormat="1"/>
    <xf numFmtId="0" fontId="16" fillId="2" borderId="8" xfId="8" applyFill="1"/>
    <xf numFmtId="0" fontId="15" fillId="0" borderId="0" xfId="7"/>
    <xf numFmtId="0" fontId="11" fillId="2" borderId="5" xfId="3" applyFill="1"/>
    <xf numFmtId="2" fontId="16" fillId="2" borderId="8" xfId="8" applyNumberFormat="1" applyFill="1"/>
    <xf numFmtId="2" fontId="13" fillId="13" borderId="7" xfId="5" applyNumberFormat="1"/>
    <xf numFmtId="9" fontId="13" fillId="13" borderId="7" xfId="5" applyNumberFormat="1"/>
    <xf numFmtId="0" fontId="13" fillId="13" borderId="7" xfId="5"/>
    <xf numFmtId="1" fontId="13" fillId="13" borderId="7" xfId="5" applyNumberFormat="1"/>
    <xf numFmtId="0" fontId="1" fillId="15" borderId="0" xfId="9"/>
    <xf numFmtId="0" fontId="12" fillId="0" borderId="6" xfId="4"/>
    <xf numFmtId="0" fontId="4" fillId="2" borderId="0" xfId="0" applyFont="1" applyFill="1"/>
    <xf numFmtId="0" fontId="16" fillId="0" borderId="8" xfId="8"/>
    <xf numFmtId="2" fontId="16" fillId="0" borderId="8" xfId="8" applyNumberFormat="1"/>
    <xf numFmtId="0" fontId="0" fillId="0" borderId="0" xfId="0" applyAlignment="1">
      <alignment horizontal="center" vertical="center"/>
    </xf>
    <xf numFmtId="0" fontId="0" fillId="0" borderId="9" xfId="0" applyBorder="1"/>
    <xf numFmtId="0" fontId="0" fillId="0" borderId="9" xfId="0" applyBorder="1" applyAlignment="1">
      <alignment vertical="center"/>
    </xf>
    <xf numFmtId="9" fontId="13" fillId="13" borderId="10" xfId="5" applyNumberFormat="1" applyBorder="1"/>
    <xf numFmtId="9" fontId="13" fillId="13" borderId="11" xfId="5" applyNumberFormat="1" applyBorder="1"/>
    <xf numFmtId="2" fontId="0" fillId="0" borderId="9" xfId="0" applyNumberFormat="1" applyBorder="1"/>
    <xf numFmtId="0" fontId="0" fillId="0" borderId="2" xfId="0" applyBorder="1" applyAlignment="1">
      <alignment vertical="center"/>
    </xf>
    <xf numFmtId="2" fontId="0" fillId="0" borderId="2" xfId="0" applyNumberFormat="1" applyBorder="1"/>
    <xf numFmtId="10" fontId="0" fillId="0" borderId="9" xfId="0" applyNumberFormat="1" applyBorder="1"/>
    <xf numFmtId="10" fontId="0" fillId="0" borderId="0" xfId="1" applyNumberFormat="1" applyFont="1"/>
    <xf numFmtId="10" fontId="0" fillId="2" borderId="0" xfId="0" applyNumberFormat="1" applyFill="1"/>
    <xf numFmtId="0" fontId="17" fillId="0" borderId="0" xfId="0" applyFont="1"/>
    <xf numFmtId="0" fontId="18" fillId="0" borderId="0" xfId="0" applyFont="1"/>
    <xf numFmtId="0" fontId="19" fillId="0" borderId="0" xfId="0" applyFont="1"/>
    <xf numFmtId="0" fontId="18" fillId="0" borderId="0" xfId="0" applyFont="1" applyAlignment="1">
      <alignment horizontal="center"/>
    </xf>
    <xf numFmtId="0" fontId="18" fillId="0" borderId="2" xfId="0" applyFont="1" applyBorder="1" applyAlignment="1">
      <alignment horizontal="center"/>
    </xf>
    <xf numFmtId="0" fontId="17" fillId="0" borderId="0" xfId="0" applyFont="1" applyAlignment="1">
      <alignment wrapText="1"/>
    </xf>
    <xf numFmtId="0" fontId="0" fillId="0" borderId="0" xfId="0" applyAlignment="1">
      <alignment wrapText="1"/>
    </xf>
    <xf numFmtId="0" fontId="17" fillId="0" borderId="2" xfId="0" applyFont="1" applyBorder="1" applyAlignment="1">
      <alignment wrapText="1"/>
    </xf>
    <xf numFmtId="0" fontId="21" fillId="0" borderId="0" xfId="2" applyFont="1" applyBorder="1" applyAlignment="1">
      <alignment horizontal="center" vertical="center"/>
    </xf>
    <xf numFmtId="0" fontId="22" fillId="0" borderId="0" xfId="0" applyFont="1"/>
    <xf numFmtId="3" fontId="0" fillId="0" borderId="9" xfId="0" applyNumberFormat="1" applyBorder="1"/>
    <xf numFmtId="164" fontId="0" fillId="0" borderId="2" xfId="0" applyNumberFormat="1" applyBorder="1"/>
    <xf numFmtId="0" fontId="18" fillId="16" borderId="12" xfId="0" applyFont="1" applyFill="1" applyBorder="1" applyAlignment="1">
      <alignment horizontal="center"/>
    </xf>
    <xf numFmtId="0" fontId="18" fillId="16" borderId="12" xfId="0" applyFont="1" applyFill="1" applyBorder="1" applyAlignment="1">
      <alignment horizontal="center" vertical="center"/>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cellXfs>
  <cellStyles count="10">
    <cellStyle name="20% - Accent1" xfId="9" builtinId="30"/>
    <cellStyle name="Calculation" xfId="6" builtinId="22"/>
    <cellStyle name="Explanatory Text" xfId="7" builtinId="53"/>
    <cellStyle name="Heading 1" xfId="3" builtinId="16"/>
    <cellStyle name="Heading 2" xfId="4" builtinId="17"/>
    <cellStyle name="Hyperlink" xfId="2" builtinId="8"/>
    <cellStyle name="Input" xfId="5" builtinId="20"/>
    <cellStyle name="Normal" xfId="0" builtinId="0"/>
    <cellStyle name="Percent" xfId="1" builtinId="5"/>
    <cellStyle name="Total" xfId="8" builtinId="25"/>
  </cellStyles>
  <dxfs count="0"/>
  <tableStyles count="0" defaultTableStyle="TableStyleMedium2" defaultPivotStyle="PivotStyleLight16"/>
  <colors>
    <mruColors>
      <color rgb="FF65CDFF"/>
      <color rgb="FFFF66FF"/>
      <color rgb="FF6666FF"/>
      <color rgb="FF34CC33"/>
      <color rgb="FFFF0066"/>
      <color rgb="FFFFCC99"/>
      <color rgb="FF87A4B2"/>
      <color rgb="FFCCFF33"/>
      <color rgb="FF02FFCD"/>
      <color rgb="FFFFA4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9050">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EDA-DA4B-BA67-0647E0BCD18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Global!$B$21:$B$24</c:f>
              <c:strCache>
                <c:ptCount val="4"/>
                <c:pt idx="0">
                  <c:v>C</c:v>
                </c:pt>
                <c:pt idx="1">
                  <c:v>CO₂</c:v>
                </c:pt>
                <c:pt idx="2">
                  <c:v>CaCO₃</c:v>
                </c:pt>
                <c:pt idx="3">
                  <c:v>MgCO₃</c:v>
                </c:pt>
              </c:strCache>
            </c:strRef>
          </c:cat>
          <c:val>
            <c:numRef>
              <c:f>Global!$C$21:$C$24</c:f>
              <c:numCache>
                <c:formatCode>General</c:formatCode>
                <c:ptCount val="4"/>
                <c:pt idx="0">
                  <c:v>0</c:v>
                </c:pt>
                <c:pt idx="1">
                  <c:v>-394.39</c:v>
                </c:pt>
                <c:pt idx="2">
                  <c:v>-1129.0999999999999</c:v>
                </c:pt>
                <c:pt idx="3">
                  <c:v>-1012.1</c:v>
                </c:pt>
              </c:numCache>
            </c:numRef>
          </c:val>
          <c:extLst>
            <c:ext xmlns:c16="http://schemas.microsoft.com/office/drawing/2014/chart" uri="{C3380CC4-5D6E-409C-BE32-E72D297353CC}">
              <c16:uniqueId val="{00000000-3EDA-DA4B-BA67-0647E0BCD18A}"/>
            </c:ext>
          </c:extLst>
        </c:ser>
        <c:dLbls>
          <c:dLblPos val="outEnd"/>
          <c:showLegendKey val="0"/>
          <c:showVal val="1"/>
          <c:showCatName val="0"/>
          <c:showSerName val="0"/>
          <c:showPercent val="0"/>
          <c:showBubbleSize val="0"/>
        </c:dLbls>
        <c:gapWidth val="80"/>
        <c:overlap val="-27"/>
        <c:axId val="636174896"/>
        <c:axId val="636177168"/>
      </c:barChart>
      <c:catAx>
        <c:axId val="636174896"/>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36177168"/>
        <c:crosses val="autoZero"/>
        <c:auto val="1"/>
        <c:lblAlgn val="ctr"/>
        <c:lblOffset val="100"/>
        <c:noMultiLvlLbl val="0"/>
      </c:catAx>
      <c:valAx>
        <c:axId val="6361771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Gibb's</a:t>
                </a:r>
                <a:r>
                  <a:rPr lang="en-US" sz="1400" b="1" baseline="0">
                    <a:solidFill>
                      <a:schemeClr val="tx1"/>
                    </a:solidFill>
                    <a:latin typeface="Arial" panose="020B0604020202020204" pitchFamily="34" charset="0"/>
                    <a:cs typeface="Arial" panose="020B0604020202020204" pitchFamily="34" charset="0"/>
                  </a:rPr>
                  <a:t> free enthalpy [J/mol]</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36174896"/>
        <c:crosses val="autoZero"/>
        <c:crossBetween val="between"/>
      </c:valAx>
      <c:spPr>
        <a:noFill/>
        <a:ln w="1905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Capex</c:v>
          </c:tx>
          <c:spPr>
            <a:ln w="19050" cap="rnd">
              <a:solidFill>
                <a:schemeClr val="accent1"/>
              </a:solidFill>
              <a:round/>
            </a:ln>
            <a:effectLst/>
          </c:spPr>
          <c:marker>
            <c:symbol val="none"/>
          </c:marker>
          <c:xVal>
            <c:numRef>
              <c:f>MINEX!$B$93:$B$97</c:f>
              <c:numCache>
                <c:formatCode>General</c:formatCode>
                <c:ptCount val="5"/>
                <c:pt idx="0">
                  <c:v>0.5</c:v>
                </c:pt>
                <c:pt idx="1">
                  <c:v>0.75</c:v>
                </c:pt>
                <c:pt idx="2">
                  <c:v>1</c:v>
                </c:pt>
                <c:pt idx="3">
                  <c:v>1.25</c:v>
                </c:pt>
                <c:pt idx="4">
                  <c:v>1.5</c:v>
                </c:pt>
              </c:numCache>
            </c:numRef>
          </c:xVal>
          <c:yVal>
            <c:numRef>
              <c:f>MINEX!$E$93:$E$97</c:f>
              <c:numCache>
                <c:formatCode>General</c:formatCode>
                <c:ptCount val="5"/>
                <c:pt idx="0">
                  <c:v>0.96098012028849067</c:v>
                </c:pt>
                <c:pt idx="1">
                  <c:v>0.98049006014424533</c:v>
                </c:pt>
                <c:pt idx="2">
                  <c:v>1</c:v>
                </c:pt>
                <c:pt idx="3">
                  <c:v>1.0195099398557546</c:v>
                </c:pt>
                <c:pt idx="4">
                  <c:v>1.0390198797115091</c:v>
                </c:pt>
              </c:numCache>
            </c:numRef>
          </c:yVal>
          <c:smooth val="1"/>
          <c:extLst>
            <c:ext xmlns:c16="http://schemas.microsoft.com/office/drawing/2014/chart" uri="{C3380CC4-5D6E-409C-BE32-E72D297353CC}">
              <c16:uniqueId val="{00000000-2BEA-9946-86AD-9133429BCB60}"/>
            </c:ext>
          </c:extLst>
        </c:ser>
        <c:ser>
          <c:idx val="2"/>
          <c:order val="1"/>
          <c:tx>
            <c:v>OpexFix</c:v>
          </c:tx>
          <c:spPr>
            <a:ln w="19050" cap="rnd">
              <a:solidFill>
                <a:schemeClr val="accent3"/>
              </a:solidFill>
              <a:round/>
            </a:ln>
            <a:effectLst/>
          </c:spPr>
          <c:marker>
            <c:symbol val="none"/>
          </c:marker>
          <c:xVal>
            <c:numRef>
              <c:f>MINEX!$H$93:$H$97</c:f>
              <c:numCache>
                <c:formatCode>General</c:formatCode>
                <c:ptCount val="5"/>
                <c:pt idx="0">
                  <c:v>0.5</c:v>
                </c:pt>
                <c:pt idx="1">
                  <c:v>0.75</c:v>
                </c:pt>
                <c:pt idx="2">
                  <c:v>1</c:v>
                </c:pt>
                <c:pt idx="3">
                  <c:v>1.25</c:v>
                </c:pt>
                <c:pt idx="4">
                  <c:v>1.5</c:v>
                </c:pt>
              </c:numCache>
            </c:numRef>
          </c:xVal>
          <c:yVal>
            <c:numRef>
              <c:f>MINEX!$K$93:$K$97</c:f>
              <c:numCache>
                <c:formatCode>General</c:formatCode>
                <c:ptCount val="5"/>
                <c:pt idx="0">
                  <c:v>0.98384489619033222</c:v>
                </c:pt>
                <c:pt idx="1">
                  <c:v>0.99192244809516605</c:v>
                </c:pt>
                <c:pt idx="2">
                  <c:v>1</c:v>
                </c:pt>
                <c:pt idx="3">
                  <c:v>1.0080775519048339</c:v>
                </c:pt>
                <c:pt idx="4">
                  <c:v>1.0161551038096679</c:v>
                </c:pt>
              </c:numCache>
            </c:numRef>
          </c:yVal>
          <c:smooth val="1"/>
          <c:extLst>
            <c:ext xmlns:c16="http://schemas.microsoft.com/office/drawing/2014/chart" uri="{C3380CC4-5D6E-409C-BE32-E72D297353CC}">
              <c16:uniqueId val="{00000001-2BEA-9946-86AD-9133429BCB60}"/>
            </c:ext>
          </c:extLst>
        </c:ser>
        <c:ser>
          <c:idx val="4"/>
          <c:order val="2"/>
          <c:tx>
            <c:v>OpexVar</c:v>
          </c:tx>
          <c:spPr>
            <a:ln w="19050" cap="rnd">
              <a:solidFill>
                <a:schemeClr val="accent5"/>
              </a:solidFill>
              <a:round/>
            </a:ln>
            <a:effectLst/>
          </c:spPr>
          <c:marker>
            <c:symbol val="none"/>
          </c:marker>
          <c:xVal>
            <c:numRef>
              <c:f>MINEX!$N$93:$N$97</c:f>
              <c:numCache>
                <c:formatCode>General</c:formatCode>
                <c:ptCount val="5"/>
                <c:pt idx="0">
                  <c:v>0.5</c:v>
                </c:pt>
                <c:pt idx="1">
                  <c:v>0.75</c:v>
                </c:pt>
                <c:pt idx="2">
                  <c:v>1</c:v>
                </c:pt>
                <c:pt idx="3">
                  <c:v>1.25</c:v>
                </c:pt>
                <c:pt idx="4">
                  <c:v>1.5</c:v>
                </c:pt>
              </c:numCache>
            </c:numRef>
          </c:xVal>
          <c:yVal>
            <c:numRef>
              <c:f>MINEX!$Q$93:$Q$97</c:f>
              <c:numCache>
                <c:formatCode>General</c:formatCode>
                <c:ptCount val="5"/>
                <c:pt idx="0">
                  <c:v>0.96794365178132891</c:v>
                </c:pt>
                <c:pt idx="1">
                  <c:v>0.98397182589066445</c:v>
                </c:pt>
                <c:pt idx="2">
                  <c:v>1</c:v>
                </c:pt>
                <c:pt idx="3">
                  <c:v>1.0160281741093353</c:v>
                </c:pt>
                <c:pt idx="4">
                  <c:v>1.0320563482186711</c:v>
                </c:pt>
              </c:numCache>
            </c:numRef>
          </c:yVal>
          <c:smooth val="1"/>
          <c:extLst>
            <c:ext xmlns:c16="http://schemas.microsoft.com/office/drawing/2014/chart" uri="{C3380CC4-5D6E-409C-BE32-E72D297353CC}">
              <c16:uniqueId val="{00000002-2BEA-9946-86AD-9133429BCB60}"/>
            </c:ext>
          </c:extLst>
        </c:ser>
        <c:ser>
          <c:idx val="6"/>
          <c:order val="3"/>
          <c:tx>
            <c:v>Electricity demand</c:v>
          </c:tx>
          <c:spPr>
            <a:ln w="19050" cap="rnd">
              <a:solidFill>
                <a:schemeClr val="accent1">
                  <a:lumMod val="60000"/>
                </a:schemeClr>
              </a:solidFill>
              <a:round/>
            </a:ln>
            <a:effectLst/>
          </c:spPr>
          <c:marker>
            <c:symbol val="none"/>
          </c:marker>
          <c:xVal>
            <c:numRef>
              <c:f>MININ!$B$52:$B$56</c:f>
              <c:numCache>
                <c:formatCode>General</c:formatCode>
                <c:ptCount val="5"/>
                <c:pt idx="0">
                  <c:v>0.5</c:v>
                </c:pt>
                <c:pt idx="1">
                  <c:v>0.75</c:v>
                </c:pt>
                <c:pt idx="2">
                  <c:v>1</c:v>
                </c:pt>
                <c:pt idx="3">
                  <c:v>1.25</c:v>
                </c:pt>
                <c:pt idx="4">
                  <c:v>1.5</c:v>
                </c:pt>
              </c:numCache>
            </c:numRef>
          </c:xVal>
          <c:yVal>
            <c:numRef>
              <c:f>MININ!$W$52:$W$56</c:f>
              <c:numCache>
                <c:formatCode>General</c:formatCode>
                <c:ptCount val="5"/>
                <c:pt idx="0">
                  <c:v>0.99201449121439111</c:v>
                </c:pt>
                <c:pt idx="1">
                  <c:v>0.99600724560719556</c:v>
                </c:pt>
                <c:pt idx="2">
                  <c:v>1</c:v>
                </c:pt>
                <c:pt idx="3">
                  <c:v>1.0039927543928044</c:v>
                </c:pt>
                <c:pt idx="4">
                  <c:v>1.0079855087856089</c:v>
                </c:pt>
              </c:numCache>
            </c:numRef>
          </c:yVal>
          <c:smooth val="1"/>
          <c:extLst>
            <c:ext xmlns:c16="http://schemas.microsoft.com/office/drawing/2014/chart" uri="{C3380CC4-5D6E-409C-BE32-E72D297353CC}">
              <c16:uniqueId val="{00000003-2BEA-9946-86AD-9133429BCB60}"/>
            </c:ext>
          </c:extLst>
        </c:ser>
        <c:ser>
          <c:idx val="1"/>
          <c:order val="4"/>
          <c:tx>
            <c:strRef>
              <c:f>MINEX!$AF$90</c:f>
              <c:strCache>
                <c:ptCount val="1"/>
                <c:pt idx="0">
                  <c:v>Heat demand</c:v>
                </c:pt>
              </c:strCache>
            </c:strRef>
          </c:tx>
          <c:spPr>
            <a:ln w="19050" cap="rnd">
              <a:solidFill>
                <a:schemeClr val="accent2"/>
              </a:solidFill>
              <a:round/>
            </a:ln>
            <a:effectLst/>
          </c:spPr>
          <c:marker>
            <c:symbol val="none"/>
          </c:marker>
          <c:xVal>
            <c:numRef>
              <c:f>MINEX!$AF$93:$AF$97</c:f>
              <c:numCache>
                <c:formatCode>General</c:formatCode>
                <c:ptCount val="5"/>
                <c:pt idx="0">
                  <c:v>0.5</c:v>
                </c:pt>
                <c:pt idx="1">
                  <c:v>0.75</c:v>
                </c:pt>
                <c:pt idx="2">
                  <c:v>1</c:v>
                </c:pt>
                <c:pt idx="3">
                  <c:v>1.25</c:v>
                </c:pt>
                <c:pt idx="4">
                  <c:v>1.5</c:v>
                </c:pt>
              </c:numCache>
            </c:numRef>
          </c:xVal>
          <c:yVal>
            <c:numRef>
              <c:f>MINEX!$AI$93:$AI$97</c:f>
              <c:numCache>
                <c:formatCode>General</c:formatCode>
                <c:ptCount val="5"/>
                <c:pt idx="0">
                  <c:v>0.96972484821024751</c:v>
                </c:pt>
                <c:pt idx="1">
                  <c:v>0.9848624241051237</c:v>
                </c:pt>
                <c:pt idx="2">
                  <c:v>1</c:v>
                </c:pt>
                <c:pt idx="3">
                  <c:v>1.0151375758948762</c:v>
                </c:pt>
                <c:pt idx="4">
                  <c:v>1.0302751517897526</c:v>
                </c:pt>
              </c:numCache>
            </c:numRef>
          </c:yVal>
          <c:smooth val="1"/>
          <c:extLst>
            <c:ext xmlns:c16="http://schemas.microsoft.com/office/drawing/2014/chart" uri="{C3380CC4-5D6E-409C-BE32-E72D297353CC}">
              <c16:uniqueId val="{00000004-2BEA-9946-86AD-9133429BCB60}"/>
            </c:ext>
          </c:extLst>
        </c:ser>
        <c:ser>
          <c:idx val="3"/>
          <c:order val="5"/>
          <c:tx>
            <c:strRef>
              <c:f>MINEX!$T$90</c:f>
              <c:strCache>
                <c:ptCount val="1"/>
                <c:pt idx="0">
                  <c:v>Lifetime</c:v>
                </c:pt>
              </c:strCache>
            </c:strRef>
          </c:tx>
          <c:spPr>
            <a:ln w="19050" cap="rnd">
              <a:solidFill>
                <a:schemeClr val="accent4"/>
              </a:solidFill>
              <a:round/>
            </a:ln>
            <a:effectLst/>
          </c:spPr>
          <c:marker>
            <c:symbol val="none"/>
          </c:marker>
          <c:xVal>
            <c:numRef>
              <c:f>MINEX!$T$93:$T$97</c:f>
              <c:numCache>
                <c:formatCode>General</c:formatCode>
                <c:ptCount val="5"/>
                <c:pt idx="0">
                  <c:v>0.5</c:v>
                </c:pt>
                <c:pt idx="1">
                  <c:v>0.75</c:v>
                </c:pt>
                <c:pt idx="2">
                  <c:v>1</c:v>
                </c:pt>
                <c:pt idx="3">
                  <c:v>1.25</c:v>
                </c:pt>
                <c:pt idx="4">
                  <c:v>1.5</c:v>
                </c:pt>
              </c:numCache>
            </c:numRef>
          </c:xVal>
          <c:yVal>
            <c:numRef>
              <c:f>MINEX!$W$93:$W$97</c:f>
              <c:numCache>
                <c:formatCode>General</c:formatCode>
                <c:ptCount val="5"/>
                <c:pt idx="0">
                  <c:v>1.0143787614877247</c:v>
                </c:pt>
                <c:pt idx="1">
                  <c:v>1.0038252296396808</c:v>
                </c:pt>
                <c:pt idx="2">
                  <c:v>1</c:v>
                </c:pt>
                <c:pt idx="3">
                  <c:v>0.99846554682207922</c:v>
                </c:pt>
                <c:pt idx="4">
                  <c:v>0.99782524902372782</c:v>
                </c:pt>
              </c:numCache>
            </c:numRef>
          </c:yVal>
          <c:smooth val="1"/>
          <c:extLst>
            <c:ext xmlns:c16="http://schemas.microsoft.com/office/drawing/2014/chart" uri="{C3380CC4-5D6E-409C-BE32-E72D297353CC}">
              <c16:uniqueId val="{00000005-2BEA-9946-86AD-9133429BCB60}"/>
            </c:ext>
          </c:extLst>
        </c:ser>
        <c:dLbls>
          <c:showLegendKey val="0"/>
          <c:showVal val="0"/>
          <c:showCatName val="0"/>
          <c:showSerName val="0"/>
          <c:showPercent val="0"/>
          <c:showBubbleSize val="0"/>
        </c:dLbls>
        <c:axId val="1597283520"/>
        <c:axId val="2135123664"/>
      </c:scatterChart>
      <c:valAx>
        <c:axId val="1597283520"/>
        <c:scaling>
          <c:orientation val="minMax"/>
          <c:max val="1.5"/>
          <c:min val="0.5"/>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value of input parameters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cross"/>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5123664"/>
        <c:crosses val="autoZero"/>
        <c:crossBetween val="midCat"/>
        <c:minorUnit val="0.1"/>
      </c:valAx>
      <c:valAx>
        <c:axId val="2135123664"/>
        <c:scaling>
          <c:orientation val="minMax"/>
          <c:max val="1.1000000000000001"/>
          <c:min val="0.9"/>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cost of MIN</a:t>
                </a:r>
                <a:r>
                  <a:rPr lang="en-US" sz="1400" b="1" baseline="-25000">
                    <a:solidFill>
                      <a:schemeClr val="tx1"/>
                    </a:solidFill>
                    <a:latin typeface="Arial" panose="020B0604020202020204" pitchFamily="34" charset="0"/>
                    <a:cs typeface="Arial" panose="020B0604020202020204" pitchFamily="34" charset="0"/>
                  </a:rPr>
                  <a:t>EX</a:t>
                </a:r>
                <a:r>
                  <a:rPr lang="en-US" sz="1400" b="1" baseline="0">
                    <a:solidFill>
                      <a:schemeClr val="tx1"/>
                    </a:solidFill>
                    <a:latin typeface="Arial" panose="020B0604020202020204" pitchFamily="34" charset="0"/>
                    <a:cs typeface="Arial" panose="020B0604020202020204" pitchFamily="34" charset="0"/>
                  </a:rPr>
                  <a:t> with DAC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97283520"/>
        <c:crosses val="autoZero"/>
        <c:crossBetween val="midCat"/>
      </c:valAx>
      <c:spPr>
        <a:noFill/>
        <a:ln w="19050">
          <a:solidFill>
            <a:schemeClr val="tx1"/>
          </a:solidFill>
        </a:ln>
        <a:effectLst/>
      </c:spPr>
    </c:plotArea>
    <c:legend>
      <c:legendPos val="b"/>
      <c:layout>
        <c:manualLayout>
          <c:xMode val="edge"/>
          <c:yMode val="edge"/>
          <c:x val="0.32593564451880441"/>
          <c:y val="0.62708635520617639"/>
          <c:w val="0.61467268181536661"/>
          <c:h val="0.18569081029354895"/>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Capex</c:v>
          </c:tx>
          <c:spPr>
            <a:ln w="19050" cap="rnd">
              <a:solidFill>
                <a:schemeClr val="accent1"/>
              </a:solidFill>
              <a:round/>
            </a:ln>
            <a:effectLst/>
          </c:spPr>
          <c:marker>
            <c:symbol val="none"/>
          </c:marker>
          <c:xVal>
            <c:numRef>
              <c:f>EW!$B$46:$B$50</c:f>
              <c:numCache>
                <c:formatCode>General</c:formatCode>
                <c:ptCount val="5"/>
                <c:pt idx="0">
                  <c:v>0.5</c:v>
                </c:pt>
                <c:pt idx="1">
                  <c:v>0.75</c:v>
                </c:pt>
                <c:pt idx="2">
                  <c:v>1</c:v>
                </c:pt>
                <c:pt idx="3">
                  <c:v>1.25</c:v>
                </c:pt>
                <c:pt idx="4">
                  <c:v>1.5</c:v>
                </c:pt>
              </c:numCache>
            </c:numRef>
          </c:xVal>
          <c:yVal>
            <c:numRef>
              <c:f>EW!$E$46:$E$50</c:f>
              <c:numCache>
                <c:formatCode>General</c:formatCode>
                <c:ptCount val="5"/>
                <c:pt idx="0">
                  <c:v>0.99796924810706988</c:v>
                </c:pt>
                <c:pt idx="1">
                  <c:v>0.99898462405353494</c:v>
                </c:pt>
                <c:pt idx="2">
                  <c:v>1</c:v>
                </c:pt>
                <c:pt idx="3">
                  <c:v>1.0010153759464651</c:v>
                </c:pt>
                <c:pt idx="4">
                  <c:v>1.0020307518929301</c:v>
                </c:pt>
              </c:numCache>
            </c:numRef>
          </c:yVal>
          <c:smooth val="1"/>
          <c:extLst>
            <c:ext xmlns:c16="http://schemas.microsoft.com/office/drawing/2014/chart" uri="{C3380CC4-5D6E-409C-BE32-E72D297353CC}">
              <c16:uniqueId val="{00000000-18E1-BE4B-B5ED-BCA9C353006D}"/>
            </c:ext>
          </c:extLst>
        </c:ser>
        <c:ser>
          <c:idx val="2"/>
          <c:order val="1"/>
          <c:tx>
            <c:v>OpexFix</c:v>
          </c:tx>
          <c:spPr>
            <a:ln w="19050" cap="rnd">
              <a:solidFill>
                <a:schemeClr val="accent3"/>
              </a:solidFill>
              <a:round/>
            </a:ln>
            <a:effectLst/>
          </c:spPr>
          <c:marker>
            <c:symbol val="none"/>
          </c:marker>
          <c:xVal>
            <c:numRef>
              <c:f>EW!$H$46:$H$50</c:f>
              <c:numCache>
                <c:formatCode>General</c:formatCode>
                <c:ptCount val="5"/>
                <c:pt idx="0">
                  <c:v>0.5</c:v>
                </c:pt>
                <c:pt idx="1">
                  <c:v>0.75</c:v>
                </c:pt>
                <c:pt idx="2">
                  <c:v>1</c:v>
                </c:pt>
                <c:pt idx="3">
                  <c:v>1.25</c:v>
                </c:pt>
                <c:pt idx="4">
                  <c:v>1.5</c:v>
                </c:pt>
              </c:numCache>
            </c:numRef>
          </c:xVal>
          <c:yVal>
            <c:numRef>
              <c:f>EW!$K$46:$K$50</c:f>
              <c:numCache>
                <c:formatCode>General</c:formatCode>
                <c:ptCount val="5"/>
                <c:pt idx="0">
                  <c:v>0.85850823720868963</c:v>
                </c:pt>
                <c:pt idx="1">
                  <c:v>0.92925411860434493</c:v>
                </c:pt>
                <c:pt idx="2">
                  <c:v>1</c:v>
                </c:pt>
                <c:pt idx="3">
                  <c:v>1.0707458813956552</c:v>
                </c:pt>
                <c:pt idx="4">
                  <c:v>1.1414917627913104</c:v>
                </c:pt>
              </c:numCache>
            </c:numRef>
          </c:yVal>
          <c:smooth val="1"/>
          <c:extLst>
            <c:ext xmlns:c16="http://schemas.microsoft.com/office/drawing/2014/chart" uri="{C3380CC4-5D6E-409C-BE32-E72D297353CC}">
              <c16:uniqueId val="{00000001-18E1-BE4B-B5ED-BCA9C353006D}"/>
            </c:ext>
          </c:extLst>
        </c:ser>
        <c:ser>
          <c:idx val="3"/>
          <c:order val="2"/>
          <c:tx>
            <c:strRef>
              <c:f>EW!$N$43</c:f>
              <c:strCache>
                <c:ptCount val="1"/>
                <c:pt idx="0">
                  <c:v>Lifetime</c:v>
                </c:pt>
              </c:strCache>
            </c:strRef>
          </c:tx>
          <c:spPr>
            <a:ln w="19050" cap="rnd">
              <a:solidFill>
                <a:schemeClr val="accent4"/>
              </a:solidFill>
              <a:round/>
            </a:ln>
            <a:effectLst/>
          </c:spPr>
          <c:marker>
            <c:symbol val="none"/>
          </c:marker>
          <c:xVal>
            <c:numRef>
              <c:f>EW!$N$46:$N$50</c:f>
              <c:numCache>
                <c:formatCode>General</c:formatCode>
                <c:ptCount val="5"/>
                <c:pt idx="0">
                  <c:v>0.5</c:v>
                </c:pt>
                <c:pt idx="1">
                  <c:v>0.75</c:v>
                </c:pt>
                <c:pt idx="2">
                  <c:v>1</c:v>
                </c:pt>
                <c:pt idx="3">
                  <c:v>1.25</c:v>
                </c:pt>
                <c:pt idx="4">
                  <c:v>1.5</c:v>
                </c:pt>
              </c:numCache>
            </c:numRef>
          </c:xVal>
          <c:yVal>
            <c:numRef>
              <c:f>EW!$Q$46:$Q$50</c:f>
              <c:numCache>
                <c:formatCode>General</c:formatCode>
                <c:ptCount val="5"/>
                <c:pt idx="0">
                  <c:v>1.0007483287320482</c:v>
                </c:pt>
                <c:pt idx="1">
                  <c:v>1.0001990803761853</c:v>
                </c:pt>
                <c:pt idx="2">
                  <c:v>1</c:v>
                </c:pt>
                <c:pt idx="3">
                  <c:v>0.99992014086873882</c:v>
                </c:pt>
                <c:pt idx="4">
                  <c:v>0.99988681718922834</c:v>
                </c:pt>
              </c:numCache>
            </c:numRef>
          </c:yVal>
          <c:smooth val="1"/>
          <c:extLst>
            <c:ext xmlns:c16="http://schemas.microsoft.com/office/drawing/2014/chart" uri="{C3380CC4-5D6E-409C-BE32-E72D297353CC}">
              <c16:uniqueId val="{00000005-18E1-BE4B-B5ED-BCA9C353006D}"/>
            </c:ext>
          </c:extLst>
        </c:ser>
        <c:ser>
          <c:idx val="1"/>
          <c:order val="3"/>
          <c:tx>
            <c:strRef>
              <c:f>EW!$T$43</c:f>
              <c:strCache>
                <c:ptCount val="1"/>
                <c:pt idx="0">
                  <c:v>Feedstock demand</c:v>
                </c:pt>
              </c:strCache>
            </c:strRef>
          </c:tx>
          <c:spPr>
            <a:ln w="19050" cap="rnd">
              <a:solidFill>
                <a:schemeClr val="accent2"/>
              </a:solidFill>
              <a:round/>
            </a:ln>
            <a:effectLst/>
          </c:spPr>
          <c:marker>
            <c:symbol val="none"/>
          </c:marker>
          <c:xVal>
            <c:numRef>
              <c:f>EW!$T$46:$T$50</c:f>
              <c:numCache>
                <c:formatCode>General</c:formatCode>
                <c:ptCount val="5"/>
                <c:pt idx="0">
                  <c:v>0.5</c:v>
                </c:pt>
                <c:pt idx="1">
                  <c:v>0.75</c:v>
                </c:pt>
                <c:pt idx="2">
                  <c:v>1</c:v>
                </c:pt>
                <c:pt idx="3">
                  <c:v>1.25</c:v>
                </c:pt>
                <c:pt idx="4">
                  <c:v>1.5</c:v>
                </c:pt>
              </c:numCache>
            </c:numRef>
          </c:xVal>
          <c:yVal>
            <c:numRef>
              <c:f>EW!$W$46:$W$50</c:f>
              <c:numCache>
                <c:formatCode>General</c:formatCode>
                <c:ptCount val="5"/>
                <c:pt idx="0">
                  <c:v>0.64352251468424027</c:v>
                </c:pt>
                <c:pt idx="1">
                  <c:v>0.82176125734212024</c:v>
                </c:pt>
                <c:pt idx="2">
                  <c:v>1</c:v>
                </c:pt>
                <c:pt idx="3">
                  <c:v>1.17823874265788</c:v>
                </c:pt>
                <c:pt idx="4">
                  <c:v>1.3564774853157597</c:v>
                </c:pt>
              </c:numCache>
            </c:numRef>
          </c:yVal>
          <c:smooth val="1"/>
          <c:extLst>
            <c:ext xmlns:c16="http://schemas.microsoft.com/office/drawing/2014/chart" uri="{C3380CC4-5D6E-409C-BE32-E72D297353CC}">
              <c16:uniqueId val="{00000006-18E1-BE4B-B5ED-BCA9C353006D}"/>
            </c:ext>
          </c:extLst>
        </c:ser>
        <c:dLbls>
          <c:showLegendKey val="0"/>
          <c:showVal val="0"/>
          <c:showCatName val="0"/>
          <c:showSerName val="0"/>
          <c:showPercent val="0"/>
          <c:showBubbleSize val="0"/>
        </c:dLbls>
        <c:axId val="1597283520"/>
        <c:axId val="2135123664"/>
      </c:scatterChart>
      <c:valAx>
        <c:axId val="1597283520"/>
        <c:scaling>
          <c:orientation val="minMax"/>
          <c:max val="1.5"/>
          <c:min val="0.5"/>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value of input parameters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cross"/>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5123664"/>
        <c:crosses val="autoZero"/>
        <c:crossBetween val="midCat"/>
        <c:minorUnit val="0.1"/>
      </c:valAx>
      <c:valAx>
        <c:axId val="2135123664"/>
        <c:scaling>
          <c:orientation val="minMax"/>
          <c:max val="1.1000000000000001"/>
          <c:min val="0.9"/>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cost of EW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97283520"/>
        <c:crosses val="autoZero"/>
        <c:crossBetween val="midCat"/>
      </c:valAx>
      <c:spPr>
        <a:noFill/>
        <a:ln w="19050">
          <a:solidFill>
            <a:schemeClr val="tx1"/>
          </a:solidFill>
        </a:ln>
        <a:effectLst/>
      </c:spPr>
    </c:plotArea>
    <c:legend>
      <c:legendPos val="b"/>
      <c:layout>
        <c:manualLayout>
          <c:xMode val="edge"/>
          <c:yMode val="edge"/>
          <c:x val="0.5671651346928015"/>
          <c:y val="0.48936553419858719"/>
          <c:w val="0.37876616268588165"/>
          <c:h val="0.33282562238988761"/>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DAC!$B$35</c:f>
              <c:strCache>
                <c:ptCount val="1"/>
                <c:pt idx="0">
                  <c:v>LCO w/o Energy</c:v>
                </c:pt>
              </c:strCache>
            </c:strRef>
          </c:tx>
          <c:spPr>
            <a:ln w="19050" cap="rnd">
              <a:solidFill>
                <a:schemeClr val="accent1"/>
              </a:solidFill>
              <a:round/>
            </a:ln>
            <a:effectLst/>
          </c:spPr>
          <c:marker>
            <c:symbol val="none"/>
          </c:marker>
          <c:xVal>
            <c:numRef>
              <c:f>DAC!$B$38:$B$42</c:f>
              <c:numCache>
                <c:formatCode>General</c:formatCode>
                <c:ptCount val="5"/>
                <c:pt idx="0">
                  <c:v>0.5</c:v>
                </c:pt>
                <c:pt idx="1">
                  <c:v>0.75</c:v>
                </c:pt>
                <c:pt idx="2">
                  <c:v>1</c:v>
                </c:pt>
                <c:pt idx="3">
                  <c:v>1.25</c:v>
                </c:pt>
                <c:pt idx="4">
                  <c:v>1.5</c:v>
                </c:pt>
              </c:numCache>
            </c:numRef>
          </c:xVal>
          <c:yVal>
            <c:numRef>
              <c:f>DAC!$E$38:$E$42</c:f>
              <c:numCache>
                <c:formatCode>General</c:formatCode>
                <c:ptCount val="5"/>
                <c:pt idx="0">
                  <c:v>0.7034896399957884</c:v>
                </c:pt>
                <c:pt idx="1">
                  <c:v>0.8517448199978942</c:v>
                </c:pt>
                <c:pt idx="2">
                  <c:v>1</c:v>
                </c:pt>
                <c:pt idx="3">
                  <c:v>1.1482551800021059</c:v>
                </c:pt>
                <c:pt idx="4">
                  <c:v>1.2965103600042114</c:v>
                </c:pt>
              </c:numCache>
            </c:numRef>
          </c:yVal>
          <c:smooth val="1"/>
          <c:extLst>
            <c:ext xmlns:c16="http://schemas.microsoft.com/office/drawing/2014/chart" uri="{C3380CC4-5D6E-409C-BE32-E72D297353CC}">
              <c16:uniqueId val="{00000000-24BF-3940-9B93-1051F8462EF6}"/>
            </c:ext>
          </c:extLst>
        </c:ser>
        <c:ser>
          <c:idx val="2"/>
          <c:order val="1"/>
          <c:tx>
            <c:strRef>
              <c:f>DAC!$H$35</c:f>
              <c:strCache>
                <c:ptCount val="1"/>
                <c:pt idx="0">
                  <c:v>Electricity demand</c:v>
                </c:pt>
              </c:strCache>
            </c:strRef>
          </c:tx>
          <c:spPr>
            <a:ln w="19050" cap="rnd">
              <a:solidFill>
                <a:schemeClr val="accent3"/>
              </a:solidFill>
              <a:round/>
            </a:ln>
            <a:effectLst/>
          </c:spPr>
          <c:marker>
            <c:symbol val="none"/>
          </c:marker>
          <c:xVal>
            <c:numRef>
              <c:f>DAC!$H$38:$H$42</c:f>
              <c:numCache>
                <c:formatCode>General</c:formatCode>
                <c:ptCount val="5"/>
                <c:pt idx="0">
                  <c:v>0.5</c:v>
                </c:pt>
                <c:pt idx="1">
                  <c:v>0.75</c:v>
                </c:pt>
                <c:pt idx="2">
                  <c:v>1</c:v>
                </c:pt>
                <c:pt idx="3">
                  <c:v>1.25</c:v>
                </c:pt>
                <c:pt idx="4">
                  <c:v>1.5</c:v>
                </c:pt>
              </c:numCache>
            </c:numRef>
          </c:xVal>
          <c:yVal>
            <c:numRef>
              <c:f>DAC!$K$38:$K$42</c:f>
              <c:numCache>
                <c:formatCode>General</c:formatCode>
                <c:ptCount val="5"/>
                <c:pt idx="0">
                  <c:v>0.96773287625090909</c:v>
                </c:pt>
                <c:pt idx="1">
                  <c:v>0.9838664381254546</c:v>
                </c:pt>
                <c:pt idx="2">
                  <c:v>1</c:v>
                </c:pt>
                <c:pt idx="3">
                  <c:v>1.0161335618745453</c:v>
                </c:pt>
                <c:pt idx="4">
                  <c:v>1.0322671237490906</c:v>
                </c:pt>
              </c:numCache>
            </c:numRef>
          </c:yVal>
          <c:smooth val="1"/>
          <c:extLst>
            <c:ext xmlns:c16="http://schemas.microsoft.com/office/drawing/2014/chart" uri="{C3380CC4-5D6E-409C-BE32-E72D297353CC}">
              <c16:uniqueId val="{00000001-24BF-3940-9B93-1051F8462EF6}"/>
            </c:ext>
          </c:extLst>
        </c:ser>
        <c:ser>
          <c:idx val="3"/>
          <c:order val="2"/>
          <c:tx>
            <c:strRef>
              <c:f>DAC!$N$35</c:f>
              <c:strCache>
                <c:ptCount val="1"/>
                <c:pt idx="0">
                  <c:v>Heat demand</c:v>
                </c:pt>
              </c:strCache>
            </c:strRef>
          </c:tx>
          <c:spPr>
            <a:ln w="19050" cap="rnd">
              <a:solidFill>
                <a:schemeClr val="accent4"/>
              </a:solidFill>
              <a:round/>
            </a:ln>
            <a:effectLst/>
          </c:spPr>
          <c:marker>
            <c:symbol val="none"/>
          </c:marker>
          <c:xVal>
            <c:numRef>
              <c:f>DAC!$N$38:$N$42</c:f>
              <c:numCache>
                <c:formatCode>General</c:formatCode>
                <c:ptCount val="5"/>
                <c:pt idx="0">
                  <c:v>0.5</c:v>
                </c:pt>
                <c:pt idx="1">
                  <c:v>0.75</c:v>
                </c:pt>
                <c:pt idx="2">
                  <c:v>1</c:v>
                </c:pt>
                <c:pt idx="3">
                  <c:v>1.25</c:v>
                </c:pt>
                <c:pt idx="4">
                  <c:v>1.5</c:v>
                </c:pt>
              </c:numCache>
            </c:numRef>
          </c:xVal>
          <c:yVal>
            <c:numRef>
              <c:f>DAC!$Q$38:$Q$42</c:f>
              <c:numCache>
                <c:formatCode>General</c:formatCode>
                <c:ptCount val="5"/>
                <c:pt idx="0">
                  <c:v>0.82877748375330229</c:v>
                </c:pt>
                <c:pt idx="1">
                  <c:v>0.9143887418766512</c:v>
                </c:pt>
                <c:pt idx="2">
                  <c:v>1</c:v>
                </c:pt>
                <c:pt idx="3">
                  <c:v>1.0856112581233488</c:v>
                </c:pt>
                <c:pt idx="4">
                  <c:v>1.1712225162466976</c:v>
                </c:pt>
              </c:numCache>
            </c:numRef>
          </c:yVal>
          <c:smooth val="1"/>
          <c:extLst>
            <c:ext xmlns:c16="http://schemas.microsoft.com/office/drawing/2014/chart" uri="{C3380CC4-5D6E-409C-BE32-E72D297353CC}">
              <c16:uniqueId val="{00000002-24BF-3940-9B93-1051F8462EF6}"/>
            </c:ext>
          </c:extLst>
        </c:ser>
        <c:dLbls>
          <c:showLegendKey val="0"/>
          <c:showVal val="0"/>
          <c:showCatName val="0"/>
          <c:showSerName val="0"/>
          <c:showPercent val="0"/>
          <c:showBubbleSize val="0"/>
        </c:dLbls>
        <c:axId val="1597283520"/>
        <c:axId val="2135123664"/>
      </c:scatterChart>
      <c:valAx>
        <c:axId val="1597283520"/>
        <c:scaling>
          <c:orientation val="minMax"/>
          <c:max val="1.5"/>
          <c:min val="0.5"/>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value of input parameters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cross"/>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5123664"/>
        <c:crosses val="autoZero"/>
        <c:crossBetween val="midCat"/>
        <c:minorUnit val="0.1"/>
      </c:valAx>
      <c:valAx>
        <c:axId val="2135123664"/>
        <c:scaling>
          <c:orientation val="minMax"/>
          <c:max val="1.1000000000000001"/>
          <c:min val="0.9"/>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cost of EW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97283520"/>
        <c:crosses val="autoZero"/>
        <c:crossBetween val="midCat"/>
      </c:valAx>
      <c:spPr>
        <a:noFill/>
        <a:ln w="19050">
          <a:solidFill>
            <a:schemeClr val="tx1"/>
          </a:solidFill>
        </a:ln>
        <a:effectLst/>
      </c:spPr>
    </c:plotArea>
    <c:legend>
      <c:legendPos val="b"/>
      <c:layout>
        <c:manualLayout>
          <c:xMode val="edge"/>
          <c:yMode val="edge"/>
          <c:x val="0.5671651346928015"/>
          <c:y val="0.48936553419858719"/>
          <c:w val="0.37876616268588165"/>
          <c:h val="0.33282562238988761"/>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'Heat Pump'!$G$37</c:f>
              <c:strCache>
                <c:ptCount val="1"/>
                <c:pt idx="0">
                  <c:v>2030 (54%)</c:v>
                </c:pt>
              </c:strCache>
            </c:strRef>
          </c:tx>
          <c:spPr>
            <a:ln w="28575" cap="rnd">
              <a:solidFill>
                <a:schemeClr val="accent3"/>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Pump'!$G$45:$G$65</c:f>
              <c:numCache>
                <c:formatCode>0.0</c:formatCode>
                <c:ptCount val="21"/>
                <c:pt idx="0">
                  <c:v>2.7</c:v>
                </c:pt>
                <c:pt idx="1">
                  <c:v>2.16</c:v>
                </c:pt>
                <c:pt idx="2">
                  <c:v>1.8000000000000003</c:v>
                </c:pt>
                <c:pt idx="3">
                  <c:v>1.5428571428571429</c:v>
                </c:pt>
                <c:pt idx="4">
                  <c:v>1.35</c:v>
                </c:pt>
                <c:pt idx="5">
                  <c:v>1.2000000000000002</c:v>
                </c:pt>
                <c:pt idx="6">
                  <c:v>1.08</c:v>
                </c:pt>
                <c:pt idx="7">
                  <c:v>0.98181818181818181</c:v>
                </c:pt>
                <c:pt idx="8">
                  <c:v>0.90000000000000013</c:v>
                </c:pt>
                <c:pt idx="9">
                  <c:v>0.83076923076923082</c:v>
                </c:pt>
                <c:pt idx="10">
                  <c:v>0.77142857142857146</c:v>
                </c:pt>
                <c:pt idx="11">
                  <c:v>0.72</c:v>
                </c:pt>
                <c:pt idx="12">
                  <c:v>0.67500000000000004</c:v>
                </c:pt>
                <c:pt idx="13">
                  <c:v>0.6352941176470589</c:v>
                </c:pt>
                <c:pt idx="14">
                  <c:v>0.60000000000000009</c:v>
                </c:pt>
                <c:pt idx="15">
                  <c:v>0.56842105263157894</c:v>
                </c:pt>
                <c:pt idx="16">
                  <c:v>0.54</c:v>
                </c:pt>
                <c:pt idx="17">
                  <c:v>0.51428571428571435</c:v>
                </c:pt>
                <c:pt idx="18">
                  <c:v>0.49090909090909091</c:v>
                </c:pt>
                <c:pt idx="19">
                  <c:v>0.46956521739130436</c:v>
                </c:pt>
                <c:pt idx="20">
                  <c:v>0.45000000000000007</c:v>
                </c:pt>
              </c:numCache>
            </c:numRef>
          </c:val>
          <c:smooth val="1"/>
          <c:extLst>
            <c:ext xmlns:c16="http://schemas.microsoft.com/office/drawing/2014/chart" uri="{C3380CC4-5D6E-409C-BE32-E72D297353CC}">
              <c16:uniqueId val="{00000002-891E-3842-9EE8-35E092A6583D}"/>
            </c:ext>
          </c:extLst>
        </c:ser>
        <c:ser>
          <c:idx val="4"/>
          <c:order val="1"/>
          <c:tx>
            <c:strRef>
              <c:f>'Heat Pump'!$I$37</c:f>
              <c:strCache>
                <c:ptCount val="1"/>
                <c:pt idx="0">
                  <c:v>2040 (58%)</c:v>
                </c:pt>
              </c:strCache>
            </c:strRef>
          </c:tx>
          <c:spPr>
            <a:ln w="28575" cap="rnd">
              <a:solidFill>
                <a:schemeClr val="tx1"/>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Pump'!$I$45:$I$65</c:f>
              <c:numCache>
                <c:formatCode>0.0</c:formatCode>
                <c:ptCount val="21"/>
                <c:pt idx="0">
                  <c:v>2.9000000000000004</c:v>
                </c:pt>
                <c:pt idx="1">
                  <c:v>2.3200000000000003</c:v>
                </c:pt>
                <c:pt idx="2">
                  <c:v>1.9333333333333336</c:v>
                </c:pt>
                <c:pt idx="3">
                  <c:v>1.6571428571428575</c:v>
                </c:pt>
                <c:pt idx="4">
                  <c:v>1.4500000000000002</c:v>
                </c:pt>
                <c:pt idx="5">
                  <c:v>1.2888888888888892</c:v>
                </c:pt>
                <c:pt idx="6">
                  <c:v>1.1600000000000001</c:v>
                </c:pt>
                <c:pt idx="7">
                  <c:v>1.0545454545454547</c:v>
                </c:pt>
                <c:pt idx="8">
                  <c:v>0.96666666666666679</c:v>
                </c:pt>
                <c:pt idx="9">
                  <c:v>0.89230769230769247</c:v>
                </c:pt>
                <c:pt idx="10">
                  <c:v>0.82857142857142874</c:v>
                </c:pt>
                <c:pt idx="11">
                  <c:v>0.77333333333333343</c:v>
                </c:pt>
                <c:pt idx="12">
                  <c:v>0.72500000000000009</c:v>
                </c:pt>
                <c:pt idx="13">
                  <c:v>0.68235294117647072</c:v>
                </c:pt>
                <c:pt idx="14">
                  <c:v>0.6444444444444446</c:v>
                </c:pt>
                <c:pt idx="15">
                  <c:v>0.61052631578947369</c:v>
                </c:pt>
                <c:pt idx="16">
                  <c:v>0.58000000000000007</c:v>
                </c:pt>
                <c:pt idx="17">
                  <c:v>0.55238095238095242</c:v>
                </c:pt>
                <c:pt idx="18">
                  <c:v>0.52727272727272734</c:v>
                </c:pt>
                <c:pt idx="19">
                  <c:v>0.50434782608695661</c:v>
                </c:pt>
                <c:pt idx="20">
                  <c:v>0.48333333333333339</c:v>
                </c:pt>
              </c:numCache>
            </c:numRef>
          </c:val>
          <c:smooth val="1"/>
          <c:extLst>
            <c:ext xmlns:c16="http://schemas.microsoft.com/office/drawing/2014/chart" uri="{C3380CC4-5D6E-409C-BE32-E72D297353CC}">
              <c16:uniqueId val="{00000004-891E-3842-9EE8-35E092A6583D}"/>
            </c:ext>
          </c:extLst>
        </c:ser>
        <c:ser>
          <c:idx val="6"/>
          <c:order val="2"/>
          <c:tx>
            <c:strRef>
              <c:f>'Heat Pump'!$K$37</c:f>
              <c:strCache>
                <c:ptCount val="1"/>
                <c:pt idx="0">
                  <c:v>2050 (62%)</c:v>
                </c:pt>
              </c:strCache>
            </c:strRef>
          </c:tx>
          <c:spPr>
            <a:ln w="28575" cap="rnd">
              <a:solidFill>
                <a:schemeClr val="accent1">
                  <a:lumMod val="60000"/>
                </a:schemeClr>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Pump'!$K$45:$K$65</c:f>
              <c:numCache>
                <c:formatCode>0.0</c:formatCode>
                <c:ptCount val="21"/>
                <c:pt idx="0">
                  <c:v>3.1</c:v>
                </c:pt>
                <c:pt idx="1">
                  <c:v>2.48</c:v>
                </c:pt>
                <c:pt idx="2">
                  <c:v>2.0666666666666669</c:v>
                </c:pt>
                <c:pt idx="3">
                  <c:v>1.7714285714285714</c:v>
                </c:pt>
                <c:pt idx="4">
                  <c:v>1.55</c:v>
                </c:pt>
                <c:pt idx="5">
                  <c:v>1.3777777777777778</c:v>
                </c:pt>
                <c:pt idx="6">
                  <c:v>1.24</c:v>
                </c:pt>
                <c:pt idx="7">
                  <c:v>1.1272727272727272</c:v>
                </c:pt>
                <c:pt idx="8">
                  <c:v>1.0333333333333334</c:v>
                </c:pt>
                <c:pt idx="9">
                  <c:v>0.9538461538461539</c:v>
                </c:pt>
                <c:pt idx="10">
                  <c:v>0.88571428571428568</c:v>
                </c:pt>
                <c:pt idx="11">
                  <c:v>0.82666666666666666</c:v>
                </c:pt>
                <c:pt idx="12">
                  <c:v>0.77500000000000002</c:v>
                </c:pt>
                <c:pt idx="13">
                  <c:v>0.72941176470588243</c:v>
                </c:pt>
                <c:pt idx="14">
                  <c:v>0.68888888888888888</c:v>
                </c:pt>
                <c:pt idx="15">
                  <c:v>0.65263157894736834</c:v>
                </c:pt>
                <c:pt idx="16">
                  <c:v>0.62</c:v>
                </c:pt>
                <c:pt idx="17">
                  <c:v>0.59047619047619049</c:v>
                </c:pt>
                <c:pt idx="18">
                  <c:v>0.5636363636363636</c:v>
                </c:pt>
                <c:pt idx="19">
                  <c:v>0.53913043478260869</c:v>
                </c:pt>
                <c:pt idx="20">
                  <c:v>0.51666666666666672</c:v>
                </c:pt>
              </c:numCache>
            </c:numRef>
          </c:val>
          <c:smooth val="1"/>
          <c:extLst>
            <c:ext xmlns:c16="http://schemas.microsoft.com/office/drawing/2014/chart" uri="{C3380CC4-5D6E-409C-BE32-E72D297353CC}">
              <c16:uniqueId val="{00000006-891E-3842-9EE8-35E092A6583D}"/>
            </c:ext>
          </c:extLst>
        </c:ser>
        <c:ser>
          <c:idx val="8"/>
          <c:order val="3"/>
          <c:tx>
            <c:strRef>
              <c:f>'Heat Pump'!$M$37</c:f>
              <c:strCache>
                <c:ptCount val="1"/>
                <c:pt idx="0">
                  <c:v>2060 (66%)</c:v>
                </c:pt>
              </c:strCache>
            </c:strRef>
          </c:tx>
          <c:spPr>
            <a:ln w="28575" cap="rnd">
              <a:solidFill>
                <a:schemeClr val="accent3">
                  <a:lumMod val="60000"/>
                </a:schemeClr>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Pump'!$M$45:$M$65</c:f>
              <c:numCache>
                <c:formatCode>0.0</c:formatCode>
                <c:ptCount val="21"/>
                <c:pt idx="0">
                  <c:v>3.3000000000000003</c:v>
                </c:pt>
                <c:pt idx="1">
                  <c:v>2.64</c:v>
                </c:pt>
                <c:pt idx="2">
                  <c:v>2.2000000000000002</c:v>
                </c:pt>
                <c:pt idx="3">
                  <c:v>1.8857142857142859</c:v>
                </c:pt>
                <c:pt idx="4">
                  <c:v>1.6500000000000001</c:v>
                </c:pt>
                <c:pt idx="5">
                  <c:v>1.4666666666666668</c:v>
                </c:pt>
                <c:pt idx="6">
                  <c:v>1.32</c:v>
                </c:pt>
                <c:pt idx="7">
                  <c:v>1.2</c:v>
                </c:pt>
                <c:pt idx="8">
                  <c:v>1.1000000000000001</c:v>
                </c:pt>
                <c:pt idx="9">
                  <c:v>1.0153846153846156</c:v>
                </c:pt>
                <c:pt idx="10">
                  <c:v>0.94285714285714295</c:v>
                </c:pt>
                <c:pt idx="11">
                  <c:v>0.88</c:v>
                </c:pt>
                <c:pt idx="12">
                  <c:v>0.82500000000000007</c:v>
                </c:pt>
                <c:pt idx="13">
                  <c:v>0.77647058823529413</c:v>
                </c:pt>
                <c:pt idx="14">
                  <c:v>0.73333333333333339</c:v>
                </c:pt>
                <c:pt idx="15">
                  <c:v>0.6947368421052631</c:v>
                </c:pt>
                <c:pt idx="16">
                  <c:v>0.66</c:v>
                </c:pt>
                <c:pt idx="17">
                  <c:v>0.62857142857142856</c:v>
                </c:pt>
                <c:pt idx="18">
                  <c:v>0.6</c:v>
                </c:pt>
                <c:pt idx="19">
                  <c:v>0.57391304347826089</c:v>
                </c:pt>
                <c:pt idx="20">
                  <c:v>0.55000000000000004</c:v>
                </c:pt>
              </c:numCache>
            </c:numRef>
          </c:val>
          <c:smooth val="1"/>
          <c:extLst>
            <c:ext xmlns:c16="http://schemas.microsoft.com/office/drawing/2014/chart" uri="{C3380CC4-5D6E-409C-BE32-E72D297353CC}">
              <c16:uniqueId val="{00000008-891E-3842-9EE8-35E092A6583D}"/>
            </c:ext>
          </c:extLst>
        </c:ser>
        <c:ser>
          <c:idx val="10"/>
          <c:order val="4"/>
          <c:tx>
            <c:strRef>
              <c:f>'Heat Pump'!$O$37</c:f>
              <c:strCache>
                <c:ptCount val="1"/>
                <c:pt idx="0">
                  <c:v>2070 (70%)</c:v>
                </c:pt>
              </c:strCache>
            </c:strRef>
          </c:tx>
          <c:spPr>
            <a:ln w="28575" cap="rnd">
              <a:solidFill>
                <a:schemeClr val="accent5">
                  <a:lumMod val="60000"/>
                </a:schemeClr>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Pump'!$O$45:$O$65</c:f>
              <c:numCache>
                <c:formatCode>0.0</c:formatCode>
                <c:ptCount val="21"/>
                <c:pt idx="0">
                  <c:v>3.5</c:v>
                </c:pt>
                <c:pt idx="1">
                  <c:v>2.8</c:v>
                </c:pt>
                <c:pt idx="2">
                  <c:v>2.3333333333333335</c:v>
                </c:pt>
                <c:pt idx="3">
                  <c:v>2</c:v>
                </c:pt>
                <c:pt idx="4">
                  <c:v>1.75</c:v>
                </c:pt>
                <c:pt idx="5">
                  <c:v>1.5555555555555556</c:v>
                </c:pt>
                <c:pt idx="6">
                  <c:v>1.4</c:v>
                </c:pt>
                <c:pt idx="7">
                  <c:v>1.2727272727272727</c:v>
                </c:pt>
                <c:pt idx="8">
                  <c:v>1.1666666666666667</c:v>
                </c:pt>
                <c:pt idx="9">
                  <c:v>1.0769230769230769</c:v>
                </c:pt>
                <c:pt idx="10">
                  <c:v>1</c:v>
                </c:pt>
                <c:pt idx="11">
                  <c:v>0.93333333333333324</c:v>
                </c:pt>
                <c:pt idx="12">
                  <c:v>0.875</c:v>
                </c:pt>
                <c:pt idx="13">
                  <c:v>0.82352941176470584</c:v>
                </c:pt>
                <c:pt idx="14">
                  <c:v>0.77777777777777779</c:v>
                </c:pt>
                <c:pt idx="15">
                  <c:v>0.73684210526315785</c:v>
                </c:pt>
                <c:pt idx="16">
                  <c:v>0.7</c:v>
                </c:pt>
                <c:pt idx="17">
                  <c:v>0.66666666666666663</c:v>
                </c:pt>
                <c:pt idx="18">
                  <c:v>0.63636363636363635</c:v>
                </c:pt>
                <c:pt idx="19">
                  <c:v>0.60869565217391297</c:v>
                </c:pt>
                <c:pt idx="20">
                  <c:v>0.58333333333333337</c:v>
                </c:pt>
              </c:numCache>
            </c:numRef>
          </c:val>
          <c:smooth val="1"/>
          <c:extLst>
            <c:ext xmlns:c16="http://schemas.microsoft.com/office/drawing/2014/chart" uri="{C3380CC4-5D6E-409C-BE32-E72D297353CC}">
              <c16:uniqueId val="{0000000A-891E-3842-9EE8-35E092A6583D}"/>
            </c:ext>
          </c:extLst>
        </c:ser>
        <c:ser>
          <c:idx val="17"/>
          <c:order val="5"/>
          <c:tx>
            <c:strRef>
              <c:f>'Heat Pump'!$V$37</c:f>
              <c:strCache>
                <c:ptCount val="1"/>
                <c:pt idx="0">
                  <c:v>Carnot</c:v>
                </c:pt>
              </c:strCache>
            </c:strRef>
          </c:tx>
          <c:spPr>
            <a:ln w="28575" cap="rnd">
              <a:solidFill>
                <a:schemeClr val="accent6">
                  <a:lumMod val="80000"/>
                  <a:lumOff val="20000"/>
                </a:schemeClr>
              </a:solidFill>
              <a:round/>
            </a:ln>
            <a:effectLst/>
          </c:spPr>
          <c:marker>
            <c:symbol val="none"/>
          </c:marker>
          <c:cat>
            <c:numRef>
              <c:f>'Heat Pump'!$C$45:$C$65</c:f>
              <c:numCache>
                <c:formatCode>General</c:formatCode>
                <c:ptCount val="2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numCache>
            </c:numRef>
          </c:cat>
          <c:val>
            <c:numRef>
              <c:f>'Heat Pump'!$V$45:$V$65</c:f>
              <c:numCache>
                <c:formatCode>0.0</c:formatCode>
                <c:ptCount val="21"/>
                <c:pt idx="0">
                  <c:v>5</c:v>
                </c:pt>
                <c:pt idx="1">
                  <c:v>4</c:v>
                </c:pt>
                <c:pt idx="2">
                  <c:v>3.3333333333333335</c:v>
                </c:pt>
                <c:pt idx="3">
                  <c:v>2.8571428571428572</c:v>
                </c:pt>
                <c:pt idx="4">
                  <c:v>2.5</c:v>
                </c:pt>
                <c:pt idx="5">
                  <c:v>2.2222222222222223</c:v>
                </c:pt>
                <c:pt idx="6">
                  <c:v>2</c:v>
                </c:pt>
                <c:pt idx="7">
                  <c:v>1.8181818181818181</c:v>
                </c:pt>
                <c:pt idx="8">
                  <c:v>1.6666666666666667</c:v>
                </c:pt>
                <c:pt idx="9">
                  <c:v>1.5384615384615385</c:v>
                </c:pt>
                <c:pt idx="10">
                  <c:v>1.4285714285714286</c:v>
                </c:pt>
                <c:pt idx="11">
                  <c:v>1.3333333333333333</c:v>
                </c:pt>
                <c:pt idx="12">
                  <c:v>1.25</c:v>
                </c:pt>
                <c:pt idx="13">
                  <c:v>1.1764705882352942</c:v>
                </c:pt>
                <c:pt idx="14">
                  <c:v>1.1111111111111112</c:v>
                </c:pt>
                <c:pt idx="15">
                  <c:v>1.0526315789473684</c:v>
                </c:pt>
                <c:pt idx="16">
                  <c:v>1</c:v>
                </c:pt>
                <c:pt idx="17">
                  <c:v>0.95238095238095233</c:v>
                </c:pt>
                <c:pt idx="18">
                  <c:v>0.90909090909090906</c:v>
                </c:pt>
                <c:pt idx="19">
                  <c:v>0.86956521739130432</c:v>
                </c:pt>
                <c:pt idx="20">
                  <c:v>0.83333333333333337</c:v>
                </c:pt>
              </c:numCache>
            </c:numRef>
          </c:val>
          <c:smooth val="1"/>
          <c:extLst>
            <c:ext xmlns:c16="http://schemas.microsoft.com/office/drawing/2014/chart" uri="{C3380CC4-5D6E-409C-BE32-E72D297353CC}">
              <c16:uniqueId val="{00000011-891E-3842-9EE8-35E092A6583D}"/>
            </c:ext>
          </c:extLst>
        </c:ser>
        <c:dLbls>
          <c:showLegendKey val="0"/>
          <c:showVal val="0"/>
          <c:showCatName val="0"/>
          <c:showSerName val="0"/>
          <c:showPercent val="0"/>
          <c:showBubbleSize val="0"/>
        </c:dLbls>
        <c:smooth val="0"/>
        <c:axId val="816710032"/>
        <c:axId val="816711760"/>
      </c:lineChart>
      <c:catAx>
        <c:axId val="816710032"/>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ΔT</a:t>
                </a:r>
                <a:r>
                  <a:rPr lang="en-US" sz="1400" b="1" baseline="-25000">
                    <a:solidFill>
                      <a:schemeClr val="tx1"/>
                    </a:solidFill>
                    <a:latin typeface="Arial" panose="020B0604020202020204" pitchFamily="34" charset="0"/>
                    <a:cs typeface="Arial" panose="020B0604020202020204" pitchFamily="34" charset="0"/>
                  </a:rPr>
                  <a:t>Lift</a:t>
                </a:r>
                <a:r>
                  <a:rPr lang="en-US" sz="1400" b="1" baseline="0">
                    <a:solidFill>
                      <a:schemeClr val="tx1"/>
                    </a:solidFill>
                    <a:latin typeface="Arial" panose="020B0604020202020204" pitchFamily="34" charset="0"/>
                    <a:cs typeface="Arial" panose="020B0604020202020204" pitchFamily="34" charset="0"/>
                  </a:rPr>
                  <a:t> [K]</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6711760"/>
        <c:crosses val="autoZero"/>
        <c:auto val="1"/>
        <c:lblAlgn val="ctr"/>
        <c:lblOffset val="100"/>
        <c:tickLblSkip val="2"/>
        <c:noMultiLvlLbl val="0"/>
      </c:catAx>
      <c:valAx>
        <c:axId val="816711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COP [-] for T</a:t>
                </a:r>
                <a:r>
                  <a:rPr lang="en-US" sz="1400" b="1" baseline="-25000">
                    <a:solidFill>
                      <a:schemeClr val="tx1"/>
                    </a:solidFill>
                    <a:latin typeface="Arial" panose="020B0604020202020204" pitchFamily="34" charset="0"/>
                    <a:cs typeface="Arial" panose="020B0604020202020204" pitchFamily="34" charset="0"/>
                  </a:rPr>
                  <a:t>Sink</a:t>
                </a:r>
                <a:r>
                  <a:rPr lang="en-US" sz="1400" b="1" baseline="0">
                    <a:solidFill>
                      <a:schemeClr val="tx1"/>
                    </a:solidFill>
                    <a:latin typeface="Arial" panose="020B0604020202020204" pitchFamily="34" charset="0"/>
                    <a:cs typeface="Arial" panose="020B0604020202020204" pitchFamily="34" charset="0"/>
                  </a:rPr>
                  <a:t> = 100°C</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6710032"/>
        <c:crosses val="autoZero"/>
        <c:crossBetween val="midCat"/>
      </c:valAx>
      <c:spPr>
        <a:noFill/>
        <a:ln w="19050">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Cumulative Potential</c:v>
          </c:tx>
          <c:spPr>
            <a:noFill/>
            <a:ln w="19050">
              <a:noFill/>
            </a:ln>
            <a:effectLst/>
          </c:spPr>
          <c:invertIfNegative val="0"/>
          <c:dPt>
            <c:idx val="0"/>
            <c:invertIfNegative val="0"/>
            <c:bubble3D val="0"/>
            <c:spPr>
              <a:solidFill>
                <a:srgbClr val="65CDFF"/>
              </a:solidFill>
              <a:ln w="19050">
                <a:noFill/>
              </a:ln>
              <a:effectLst/>
            </c:spPr>
            <c:extLst>
              <c:ext xmlns:c16="http://schemas.microsoft.com/office/drawing/2014/chart" uri="{C3380CC4-5D6E-409C-BE32-E72D297353CC}">
                <c16:uniqueId val="{00000002-5DC9-B04D-9AB3-93EF5F06C3D0}"/>
              </c:ext>
            </c:extLst>
          </c:dPt>
          <c:dPt>
            <c:idx val="1"/>
            <c:invertIfNegative val="0"/>
            <c:bubble3D val="0"/>
            <c:spPr>
              <a:solidFill>
                <a:srgbClr val="FF66FF"/>
              </a:solidFill>
              <a:ln w="19050">
                <a:noFill/>
              </a:ln>
              <a:effectLst/>
            </c:spPr>
            <c:extLst>
              <c:ext xmlns:c16="http://schemas.microsoft.com/office/drawing/2014/chart" uri="{C3380CC4-5D6E-409C-BE32-E72D297353CC}">
                <c16:uniqueId val="{00000003-5DC9-B04D-9AB3-93EF5F06C3D0}"/>
              </c:ext>
            </c:extLst>
          </c:dPt>
          <c:dPt>
            <c:idx val="2"/>
            <c:invertIfNegative val="0"/>
            <c:bubble3D val="0"/>
            <c:spPr>
              <a:solidFill>
                <a:srgbClr val="6666FF"/>
              </a:solidFill>
              <a:ln w="19050">
                <a:noFill/>
              </a:ln>
              <a:effectLst/>
            </c:spPr>
            <c:extLst>
              <c:ext xmlns:c16="http://schemas.microsoft.com/office/drawing/2014/chart" uri="{C3380CC4-5D6E-409C-BE32-E72D297353CC}">
                <c16:uniqueId val="{00000004-5DC9-B04D-9AB3-93EF5F06C3D0}"/>
              </c:ext>
            </c:extLst>
          </c:dPt>
          <c:dPt>
            <c:idx val="3"/>
            <c:invertIfNegative val="0"/>
            <c:bubble3D val="0"/>
            <c:spPr>
              <a:solidFill>
                <a:srgbClr val="34CC33"/>
              </a:solidFill>
              <a:ln w="19050">
                <a:noFill/>
              </a:ln>
              <a:effectLst/>
            </c:spPr>
            <c:extLst>
              <c:ext xmlns:c16="http://schemas.microsoft.com/office/drawing/2014/chart" uri="{C3380CC4-5D6E-409C-BE32-E72D297353CC}">
                <c16:uniqueId val="{00000005-5DC9-B04D-9AB3-93EF5F06C3D0}"/>
              </c:ext>
            </c:extLst>
          </c:dPt>
          <c:dPt>
            <c:idx val="4"/>
            <c:invertIfNegative val="0"/>
            <c:bubble3D val="0"/>
            <c:spPr>
              <a:solidFill>
                <a:srgbClr val="FF0066"/>
              </a:solidFill>
              <a:ln w="19050">
                <a:noFill/>
              </a:ln>
              <a:effectLst/>
            </c:spPr>
            <c:extLst>
              <c:ext xmlns:c16="http://schemas.microsoft.com/office/drawing/2014/chart" uri="{C3380CC4-5D6E-409C-BE32-E72D297353CC}">
                <c16:uniqueId val="{00000006-5DC9-B04D-9AB3-93EF5F06C3D0}"/>
              </c:ext>
            </c:extLst>
          </c:dPt>
          <c:dPt>
            <c:idx val="5"/>
            <c:invertIfNegative val="0"/>
            <c:bubble3D val="0"/>
            <c:spPr>
              <a:solidFill>
                <a:srgbClr val="FFCC99"/>
              </a:solidFill>
              <a:ln w="19050">
                <a:noFill/>
              </a:ln>
              <a:effectLst/>
            </c:spPr>
            <c:extLst>
              <c:ext xmlns:c16="http://schemas.microsoft.com/office/drawing/2014/chart" uri="{C3380CC4-5D6E-409C-BE32-E72D297353CC}">
                <c16:uniqueId val="{00000007-5DC9-B04D-9AB3-93EF5F06C3D0}"/>
              </c:ext>
            </c:extLst>
          </c:dPt>
          <c:dPt>
            <c:idx val="6"/>
            <c:invertIfNegative val="0"/>
            <c:bubble3D val="0"/>
            <c:spPr>
              <a:solidFill>
                <a:srgbClr val="87A4B2"/>
              </a:solidFill>
              <a:ln w="19050">
                <a:noFill/>
              </a:ln>
              <a:effectLst/>
            </c:spPr>
            <c:extLst>
              <c:ext xmlns:c16="http://schemas.microsoft.com/office/drawing/2014/chart" uri="{C3380CC4-5D6E-409C-BE32-E72D297353CC}">
                <c16:uniqueId val="{00000008-5DC9-B04D-9AB3-93EF5F06C3D0}"/>
              </c:ext>
            </c:extLst>
          </c:dPt>
          <c:dPt>
            <c:idx val="7"/>
            <c:invertIfNegative val="0"/>
            <c:bubble3D val="0"/>
            <c:spPr>
              <a:solidFill>
                <a:srgbClr val="CCFF33"/>
              </a:solidFill>
              <a:ln w="19050">
                <a:noFill/>
              </a:ln>
              <a:effectLst/>
            </c:spPr>
            <c:extLst>
              <c:ext xmlns:c16="http://schemas.microsoft.com/office/drawing/2014/chart" uri="{C3380CC4-5D6E-409C-BE32-E72D297353CC}">
                <c16:uniqueId val="{00000009-5DC9-B04D-9AB3-93EF5F06C3D0}"/>
              </c:ext>
            </c:extLst>
          </c:dPt>
          <c:dPt>
            <c:idx val="8"/>
            <c:invertIfNegative val="0"/>
            <c:bubble3D val="0"/>
            <c:spPr>
              <a:solidFill>
                <a:srgbClr val="02FFCD"/>
              </a:solidFill>
              <a:ln w="19050">
                <a:noFill/>
              </a:ln>
              <a:effectLst/>
            </c:spPr>
            <c:extLst>
              <c:ext xmlns:c16="http://schemas.microsoft.com/office/drawing/2014/chart" uri="{C3380CC4-5D6E-409C-BE32-E72D297353CC}">
                <c16:uniqueId val="{0000000A-5DC9-B04D-9AB3-93EF5F06C3D0}"/>
              </c:ext>
            </c:extLst>
          </c:dPt>
          <c:cat>
            <c:strRef>
              <c:f>MININ_Pot!$F$82:$F$90</c:f>
              <c:strCache>
                <c:ptCount val="9"/>
                <c:pt idx="0">
                  <c:v>South America</c:v>
                </c:pt>
                <c:pt idx="1">
                  <c:v>North America</c:v>
                </c:pt>
                <c:pt idx="2">
                  <c:v>Southeast Asia</c:v>
                </c:pt>
                <c:pt idx="3">
                  <c:v>Northeast Asia</c:v>
                </c:pt>
                <c:pt idx="4">
                  <c:v>SAARC</c:v>
                </c:pt>
                <c:pt idx="5">
                  <c:v>SSA</c:v>
                </c:pt>
                <c:pt idx="6">
                  <c:v>MENA</c:v>
                </c:pt>
                <c:pt idx="7">
                  <c:v>Eurasia</c:v>
                </c:pt>
                <c:pt idx="8">
                  <c:v>Europe</c:v>
                </c:pt>
              </c:strCache>
            </c:strRef>
          </c:cat>
          <c:val>
            <c:numRef>
              <c:f>MININ_Pot!$G$82:$G$90</c:f>
              <c:numCache>
                <c:formatCode>0.00</c:formatCode>
                <c:ptCount val="9"/>
                <c:pt idx="0">
                  <c:v>543</c:v>
                </c:pt>
                <c:pt idx="1">
                  <c:v>138.2074074074074</c:v>
                </c:pt>
                <c:pt idx="2">
                  <c:v>439.3</c:v>
                </c:pt>
                <c:pt idx="3">
                  <c:v>436.5</c:v>
                </c:pt>
                <c:pt idx="4">
                  <c:v>266</c:v>
                </c:pt>
                <c:pt idx="5">
                  <c:v>511.5</c:v>
                </c:pt>
                <c:pt idx="6">
                  <c:v>117.4</c:v>
                </c:pt>
                <c:pt idx="7">
                  <c:v>484.5</c:v>
                </c:pt>
                <c:pt idx="8">
                  <c:v>102</c:v>
                </c:pt>
              </c:numCache>
            </c:numRef>
          </c:val>
          <c:extLst>
            <c:ext xmlns:c16="http://schemas.microsoft.com/office/drawing/2014/chart" uri="{C3380CC4-5D6E-409C-BE32-E72D297353CC}">
              <c16:uniqueId val="{00000000-5DC9-B04D-9AB3-93EF5F06C3D0}"/>
            </c:ext>
          </c:extLst>
        </c:ser>
        <c:dLbls>
          <c:showLegendKey val="0"/>
          <c:showVal val="0"/>
          <c:showCatName val="0"/>
          <c:showSerName val="0"/>
          <c:showPercent val="0"/>
          <c:showBubbleSize val="0"/>
        </c:dLbls>
        <c:gapWidth val="70"/>
        <c:overlap val="-27"/>
        <c:axId val="1739050239"/>
        <c:axId val="1387469168"/>
      </c:barChart>
      <c:barChart>
        <c:barDir val="col"/>
        <c:grouping val="clustered"/>
        <c:varyColors val="0"/>
        <c:ser>
          <c:idx val="1"/>
          <c:order val="1"/>
          <c:tx>
            <c:v>Annual Potential</c:v>
          </c:tx>
          <c:spPr>
            <a:solidFill>
              <a:schemeClr val="tx1"/>
            </a:solidFill>
            <a:ln>
              <a:noFill/>
            </a:ln>
            <a:effectLst/>
          </c:spPr>
          <c:invertIfNegative val="0"/>
          <c:cat>
            <c:strRef>
              <c:f>MININ_Pot!$F$82:$F$90</c:f>
              <c:strCache>
                <c:ptCount val="9"/>
                <c:pt idx="0">
                  <c:v>South America</c:v>
                </c:pt>
                <c:pt idx="1">
                  <c:v>North America</c:v>
                </c:pt>
                <c:pt idx="2">
                  <c:v>Southeast Asia</c:v>
                </c:pt>
                <c:pt idx="3">
                  <c:v>Northeast Asia</c:v>
                </c:pt>
                <c:pt idx="4">
                  <c:v>SAARC</c:v>
                </c:pt>
                <c:pt idx="5">
                  <c:v>SSA</c:v>
                </c:pt>
                <c:pt idx="6">
                  <c:v>MENA</c:v>
                </c:pt>
                <c:pt idx="7">
                  <c:v>Eurasia</c:v>
                </c:pt>
                <c:pt idx="8">
                  <c:v>Europe</c:v>
                </c:pt>
              </c:strCache>
            </c:strRef>
          </c:cat>
          <c:val>
            <c:numRef>
              <c:f>MININ_Pot!$H$82:$H$90</c:f>
              <c:numCache>
                <c:formatCode>0.00</c:formatCode>
                <c:ptCount val="9"/>
                <c:pt idx="0">
                  <c:v>3.8785714285714286</c:v>
                </c:pt>
                <c:pt idx="1">
                  <c:v>0.9790714285714287</c:v>
                </c:pt>
                <c:pt idx="2">
                  <c:v>3.1054285714285714</c:v>
                </c:pt>
                <c:pt idx="3">
                  <c:v>3.1178571428571429</c:v>
                </c:pt>
                <c:pt idx="4">
                  <c:v>1.9</c:v>
                </c:pt>
                <c:pt idx="5">
                  <c:v>3.6535714285714285</c:v>
                </c:pt>
                <c:pt idx="6">
                  <c:v>0.80089285714285718</c:v>
                </c:pt>
                <c:pt idx="7">
                  <c:v>3.4607142857142854</c:v>
                </c:pt>
                <c:pt idx="8">
                  <c:v>0.72857142857142854</c:v>
                </c:pt>
              </c:numCache>
            </c:numRef>
          </c:val>
          <c:extLst>
            <c:ext xmlns:c16="http://schemas.microsoft.com/office/drawing/2014/chart" uri="{C3380CC4-5D6E-409C-BE32-E72D297353CC}">
              <c16:uniqueId val="{00000001-5DC9-B04D-9AB3-93EF5F06C3D0}"/>
            </c:ext>
          </c:extLst>
        </c:ser>
        <c:dLbls>
          <c:showLegendKey val="0"/>
          <c:showVal val="0"/>
          <c:showCatName val="0"/>
          <c:showSerName val="0"/>
          <c:showPercent val="0"/>
          <c:showBubbleSize val="0"/>
        </c:dLbls>
        <c:gapWidth val="500"/>
        <c:overlap val="100"/>
        <c:axId val="1340866224"/>
        <c:axId val="1340862672"/>
      </c:barChart>
      <c:catAx>
        <c:axId val="1739050239"/>
        <c:scaling>
          <c:orientation val="maxMin"/>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87469168"/>
        <c:crosses val="autoZero"/>
        <c:auto val="1"/>
        <c:lblAlgn val="ctr"/>
        <c:lblOffset val="100"/>
        <c:noMultiLvlLbl val="0"/>
      </c:catAx>
      <c:valAx>
        <c:axId val="1387469168"/>
        <c:scaling>
          <c:orientation val="minMax"/>
          <c:max val="6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Total CO</a:t>
                </a:r>
                <a:r>
                  <a:rPr lang="en-US" sz="1400" b="1" baseline="-25000">
                    <a:solidFill>
                      <a:schemeClr val="tx1"/>
                    </a:solidFill>
                    <a:latin typeface="Arial" panose="020B0604020202020204" pitchFamily="34" charset="0"/>
                    <a:cs typeface="Arial" panose="020B0604020202020204" pitchFamily="34" charset="0"/>
                  </a:rPr>
                  <a:t>2</a:t>
                </a:r>
                <a:r>
                  <a:rPr lang="en-US" sz="1400" b="1" baseline="0">
                    <a:solidFill>
                      <a:schemeClr val="tx1"/>
                    </a:solidFill>
                    <a:latin typeface="Arial" panose="020B0604020202020204" pitchFamily="34" charset="0"/>
                    <a:cs typeface="Arial" panose="020B0604020202020204" pitchFamily="34" charset="0"/>
                  </a:rPr>
                  <a:t> MIN</a:t>
                </a:r>
                <a:r>
                  <a:rPr lang="en-US" sz="1400" b="1" baseline="-25000">
                    <a:solidFill>
                      <a:schemeClr val="tx1"/>
                    </a:solidFill>
                    <a:latin typeface="Arial" panose="020B0604020202020204" pitchFamily="34" charset="0"/>
                    <a:cs typeface="Arial" panose="020B0604020202020204" pitchFamily="34" charset="0"/>
                  </a:rPr>
                  <a:t>IN</a:t>
                </a:r>
                <a:r>
                  <a:rPr lang="en-US" sz="1400" b="1" baseline="0">
                    <a:solidFill>
                      <a:schemeClr val="tx1"/>
                    </a:solidFill>
                    <a:latin typeface="Arial" panose="020B0604020202020204" pitchFamily="34" charset="0"/>
                    <a:cs typeface="Arial" panose="020B0604020202020204" pitchFamily="34" charset="0"/>
                  </a:rPr>
                  <a:t> potential [GtCO</a:t>
                </a:r>
                <a:r>
                  <a:rPr lang="en-US" sz="1400" b="1" baseline="-25000">
                    <a:solidFill>
                      <a:schemeClr val="tx1"/>
                    </a:solidFill>
                    <a:latin typeface="Arial" panose="020B0604020202020204" pitchFamily="34" charset="0"/>
                    <a:cs typeface="Arial" panose="020B0604020202020204" pitchFamily="34" charset="0"/>
                  </a:rPr>
                  <a:t>2</a:t>
                </a:r>
                <a:r>
                  <a:rPr lang="en-US" sz="1400" b="1" baseline="0">
                    <a:solidFill>
                      <a:schemeClr val="tx1"/>
                    </a:solidFill>
                    <a:latin typeface="Arial" panose="020B0604020202020204" pitchFamily="34" charset="0"/>
                    <a:cs typeface="Arial" panose="020B0604020202020204" pitchFamily="34" charset="0"/>
                  </a:rPr>
                  <a:t>]</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39050239"/>
        <c:crosses val="autoZero"/>
        <c:crossBetween val="between"/>
      </c:valAx>
      <c:valAx>
        <c:axId val="1340862672"/>
        <c:scaling>
          <c:orientation val="minMax"/>
          <c:max val="4.2730000000000006"/>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Annual</a:t>
                </a:r>
                <a:r>
                  <a:rPr lang="en-US" sz="1400" b="1" baseline="0">
                    <a:solidFill>
                      <a:schemeClr val="tx1"/>
                    </a:solidFill>
                    <a:latin typeface="Arial" panose="020B0604020202020204" pitchFamily="34" charset="0"/>
                    <a:cs typeface="Arial" panose="020B0604020202020204" pitchFamily="34" charset="0"/>
                  </a:rPr>
                  <a:t> CO</a:t>
                </a:r>
                <a:r>
                  <a:rPr lang="en-US" sz="1400" b="1" baseline="-25000">
                    <a:solidFill>
                      <a:schemeClr val="tx1"/>
                    </a:solidFill>
                    <a:latin typeface="Arial" panose="020B0604020202020204" pitchFamily="34" charset="0"/>
                    <a:cs typeface="Arial" panose="020B0604020202020204" pitchFamily="34" charset="0"/>
                  </a:rPr>
                  <a:t>2</a:t>
                </a:r>
                <a:r>
                  <a:rPr lang="en-US" sz="1400" b="1" baseline="0">
                    <a:solidFill>
                      <a:schemeClr val="tx1"/>
                    </a:solidFill>
                    <a:latin typeface="Arial" panose="020B0604020202020204" pitchFamily="34" charset="0"/>
                    <a:cs typeface="Arial" panose="020B0604020202020204" pitchFamily="34" charset="0"/>
                  </a:rPr>
                  <a:t> MIN</a:t>
                </a:r>
                <a:r>
                  <a:rPr lang="en-US" sz="1400" b="1" baseline="-25000">
                    <a:solidFill>
                      <a:schemeClr val="tx1"/>
                    </a:solidFill>
                    <a:latin typeface="Arial" panose="020B0604020202020204" pitchFamily="34" charset="0"/>
                    <a:cs typeface="Arial" panose="020B0604020202020204" pitchFamily="34" charset="0"/>
                  </a:rPr>
                  <a:t>IN</a:t>
                </a:r>
                <a:r>
                  <a:rPr lang="en-US" sz="1400" b="1" baseline="0">
                    <a:solidFill>
                      <a:schemeClr val="tx1"/>
                    </a:solidFill>
                    <a:latin typeface="Arial" panose="020B0604020202020204" pitchFamily="34" charset="0"/>
                    <a:cs typeface="Arial" panose="020B0604020202020204" pitchFamily="34" charset="0"/>
                  </a:rPr>
                  <a:t> potential [GtCO</a:t>
                </a:r>
                <a:r>
                  <a:rPr lang="en-US" sz="1400" b="1" baseline="-25000">
                    <a:solidFill>
                      <a:schemeClr val="tx1"/>
                    </a:solidFill>
                    <a:latin typeface="Arial" panose="020B0604020202020204" pitchFamily="34" charset="0"/>
                    <a:cs typeface="Arial" panose="020B0604020202020204" pitchFamily="34" charset="0"/>
                  </a:rPr>
                  <a:t>2</a:t>
                </a:r>
                <a:r>
                  <a:rPr lang="en-US" sz="1400" b="1" baseline="0">
                    <a:solidFill>
                      <a:schemeClr val="tx1"/>
                    </a:solidFill>
                    <a:latin typeface="Arial" panose="020B0604020202020204" pitchFamily="34" charset="0"/>
                    <a:cs typeface="Arial" panose="020B0604020202020204" pitchFamily="34" charset="0"/>
                  </a:rPr>
                  <a:t>/a]</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40866224"/>
        <c:crosses val="max"/>
        <c:crossBetween val="between"/>
      </c:valAx>
      <c:catAx>
        <c:axId val="1340866224"/>
        <c:scaling>
          <c:orientation val="maxMin"/>
        </c:scaling>
        <c:delete val="1"/>
        <c:axPos val="b"/>
        <c:numFmt formatCode="General" sourceLinked="1"/>
        <c:majorTickMark val="out"/>
        <c:minorTickMark val="none"/>
        <c:tickLblPos val="nextTo"/>
        <c:crossAx val="1340862672"/>
        <c:crosses val="autoZero"/>
        <c:auto val="1"/>
        <c:lblAlgn val="ctr"/>
        <c:lblOffset val="100"/>
        <c:noMultiLvlLbl val="0"/>
      </c:catAx>
      <c:spPr>
        <a:noFill/>
        <a:ln w="19050">
          <a:solidFill>
            <a:schemeClr val="tx1"/>
          </a:solidFill>
        </a:ln>
        <a:effectLst/>
      </c:spPr>
    </c:plotArea>
    <c:legend>
      <c:legendPos val="t"/>
      <c:layout>
        <c:manualLayout>
          <c:xMode val="edge"/>
          <c:yMode val="edge"/>
          <c:x val="0.18815947710586647"/>
          <c:y val="4.9975713881652818E-2"/>
          <c:w val="0.69005471568534837"/>
          <c:h val="6.383565130885055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MINEX_IW_Pot!$C$27</c:f>
              <c:strCache>
                <c:ptCount val="1"/>
                <c:pt idx="0">
                  <c:v>Europe</c:v>
                </c:pt>
              </c:strCache>
            </c:strRef>
          </c:tx>
          <c:spPr>
            <a:solidFill>
              <a:schemeClr val="accent1"/>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MINEX_IW_Pot!$D$27:$T$27</c:f>
              <c:numCache>
                <c:formatCode>General</c:formatCode>
                <c:ptCount val="17"/>
                <c:pt idx="0">
                  <c:v>14.488772202049585</c:v>
                </c:pt>
                <c:pt idx="1">
                  <c:v>13.306435365498734</c:v>
                </c:pt>
                <c:pt idx="2">
                  <c:v>12.095067991868886</c:v>
                </c:pt>
                <c:pt idx="3">
                  <c:v>10.921658059699419</c:v>
                </c:pt>
                <c:pt idx="4">
                  <c:v>9.8041111068548492</c:v>
                </c:pt>
                <c:pt idx="5">
                  <c:v>8.7681508996813537</c:v>
                </c:pt>
                <c:pt idx="6">
                  <c:v>7.8314605516843336</c:v>
                </c:pt>
                <c:pt idx="7">
                  <c:v>7.2729934861052667</c:v>
                </c:pt>
                <c:pt idx="8">
                  <c:v>6.8120341763605294</c:v>
                </c:pt>
                <c:pt idx="9">
                  <c:v>6.4382949162431986</c:v>
                </c:pt>
                <c:pt idx="10">
                  <c:v>6.1395312048328456</c:v>
                </c:pt>
                <c:pt idx="11">
                  <c:v>5.9012538609951637</c:v>
                </c:pt>
                <c:pt idx="12">
                  <c:v>5.71021596556887</c:v>
                </c:pt>
                <c:pt idx="13">
                  <c:v>5.5554884940275961</c:v>
                </c:pt>
                <c:pt idx="14">
                  <c:v>5.4282492171412065</c:v>
                </c:pt>
                <c:pt idx="15">
                  <c:v>5.3205939047097868</c:v>
                </c:pt>
                <c:pt idx="16">
                  <c:v>5.2260431941420586</c:v>
                </c:pt>
              </c:numCache>
            </c:numRef>
          </c:val>
          <c:extLst>
            <c:ext xmlns:c16="http://schemas.microsoft.com/office/drawing/2014/chart" uri="{C3380CC4-5D6E-409C-BE32-E72D297353CC}">
              <c16:uniqueId val="{00000000-ACA5-8D45-AF7F-63BC6FA9443B}"/>
            </c:ext>
          </c:extLst>
        </c:ser>
        <c:ser>
          <c:idx val="1"/>
          <c:order val="1"/>
          <c:tx>
            <c:strRef>
              <c:f>MINEX_IW_Pot!$C$28</c:f>
              <c:strCache>
                <c:ptCount val="1"/>
                <c:pt idx="0">
                  <c:v>Eurasia</c:v>
                </c:pt>
              </c:strCache>
            </c:strRef>
          </c:tx>
          <c:spPr>
            <a:solidFill>
              <a:schemeClr val="accent2"/>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MINEX_IW_Pot!$D$28:$T$28</c:f>
              <c:numCache>
                <c:formatCode>General</c:formatCode>
                <c:ptCount val="17"/>
                <c:pt idx="0">
                  <c:v>5.9547809163495025</c:v>
                </c:pt>
                <c:pt idx="1">
                  <c:v>5.7888950837469597</c:v>
                </c:pt>
                <c:pt idx="2">
                  <c:v>5.5011341099735676</c:v>
                </c:pt>
                <c:pt idx="3">
                  <c:v>5.1308271044355847</c:v>
                </c:pt>
                <c:pt idx="4">
                  <c:v>4.695370192353284</c:v>
                </c:pt>
                <c:pt idx="5">
                  <c:v>4.2122050632977768</c:v>
                </c:pt>
                <c:pt idx="6">
                  <c:v>3.7251994301182614</c:v>
                </c:pt>
                <c:pt idx="7">
                  <c:v>3.3474831616736722</c:v>
                </c:pt>
                <c:pt idx="8">
                  <c:v>3.0508669727486351</c:v>
                </c:pt>
                <c:pt idx="9">
                  <c:v>2.8332421263557781</c:v>
                </c:pt>
                <c:pt idx="10">
                  <c:v>2.6784522467886864</c:v>
                </c:pt>
                <c:pt idx="11">
                  <c:v>2.5702952221369459</c:v>
                </c:pt>
                <c:pt idx="12">
                  <c:v>2.4958395680335475</c:v>
                </c:pt>
                <c:pt idx="13">
                  <c:v>2.4447473381857643</c:v>
                </c:pt>
                <c:pt idx="14">
                  <c:v>2.4081061508185067</c:v>
                </c:pt>
                <c:pt idx="15">
                  <c:v>2.3778863867717517</c:v>
                </c:pt>
                <c:pt idx="16">
                  <c:v>2.3488776050241138</c:v>
                </c:pt>
              </c:numCache>
            </c:numRef>
          </c:val>
          <c:extLst>
            <c:ext xmlns:c16="http://schemas.microsoft.com/office/drawing/2014/chart" uri="{C3380CC4-5D6E-409C-BE32-E72D297353CC}">
              <c16:uniqueId val="{00000001-ACA5-8D45-AF7F-63BC6FA9443B}"/>
            </c:ext>
          </c:extLst>
        </c:ser>
        <c:ser>
          <c:idx val="2"/>
          <c:order val="2"/>
          <c:tx>
            <c:strRef>
              <c:f>MINEX_IW_Pot!$C$29</c:f>
              <c:strCache>
                <c:ptCount val="1"/>
                <c:pt idx="0">
                  <c:v>MENA</c:v>
                </c:pt>
              </c:strCache>
            </c:strRef>
          </c:tx>
          <c:spPr>
            <a:solidFill>
              <a:schemeClr val="accent3"/>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MINEX_IW_Pot!$D$29:$T$29</c:f>
              <c:numCache>
                <c:formatCode>General</c:formatCode>
                <c:ptCount val="17"/>
                <c:pt idx="0">
                  <c:v>16.862464340884088</c:v>
                </c:pt>
                <c:pt idx="1">
                  <c:v>17.471375988076165</c:v>
                </c:pt>
                <c:pt idx="2">
                  <c:v>17.405966770016963</c:v>
                </c:pt>
                <c:pt idx="3">
                  <c:v>16.63170847456967</c:v>
                </c:pt>
                <c:pt idx="4">
                  <c:v>15.293231871202243</c:v>
                </c:pt>
                <c:pt idx="5">
                  <c:v>13.555384203387543</c:v>
                </c:pt>
                <c:pt idx="6">
                  <c:v>11.580045457692639</c:v>
                </c:pt>
                <c:pt idx="7">
                  <c:v>10.860194379932695</c:v>
                </c:pt>
                <c:pt idx="8">
                  <c:v>10.12720896956691</c:v>
                </c:pt>
                <c:pt idx="9">
                  <c:v>9.4147064692659921</c:v>
                </c:pt>
                <c:pt idx="10">
                  <c:v>8.768375979108491</c:v>
                </c:pt>
                <c:pt idx="11">
                  <c:v>8.2339604559553266</c:v>
                </c:pt>
                <c:pt idx="12">
                  <c:v>7.8300211664714494</c:v>
                </c:pt>
                <c:pt idx="13">
                  <c:v>7.5431547346535819</c:v>
                </c:pt>
                <c:pt idx="14">
                  <c:v>7.3428645792024421</c:v>
                </c:pt>
                <c:pt idx="15">
                  <c:v>7.196300211181752</c:v>
                </c:pt>
                <c:pt idx="16">
                  <c:v>7.0778955526408325</c:v>
                </c:pt>
              </c:numCache>
            </c:numRef>
          </c:val>
          <c:extLst>
            <c:ext xmlns:c16="http://schemas.microsoft.com/office/drawing/2014/chart" uri="{C3380CC4-5D6E-409C-BE32-E72D297353CC}">
              <c16:uniqueId val="{00000002-ACA5-8D45-AF7F-63BC6FA9443B}"/>
            </c:ext>
          </c:extLst>
        </c:ser>
        <c:ser>
          <c:idx val="3"/>
          <c:order val="3"/>
          <c:tx>
            <c:strRef>
              <c:f>MINEX_IW_Pot!$C$30</c:f>
              <c:strCache>
                <c:ptCount val="1"/>
                <c:pt idx="0">
                  <c:v>SSA</c:v>
                </c:pt>
              </c:strCache>
            </c:strRef>
          </c:tx>
          <c:spPr>
            <a:solidFill>
              <a:schemeClr val="accent4"/>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MINEX_IW_Pot!$D$30:$T$30</c:f>
              <c:numCache>
                <c:formatCode>General</c:formatCode>
                <c:ptCount val="17"/>
                <c:pt idx="0">
                  <c:v>9.092132797756264</c:v>
                </c:pt>
                <c:pt idx="1">
                  <c:v>14.912897648027229</c:v>
                </c:pt>
                <c:pt idx="2">
                  <c:v>22.602696838698133</c:v>
                </c:pt>
                <c:pt idx="3">
                  <c:v>31.531977759812271</c:v>
                </c:pt>
                <c:pt idx="4">
                  <c:v>40.363919490758136</c:v>
                </c:pt>
                <c:pt idx="5">
                  <c:v>47.523679081780671</c:v>
                </c:pt>
                <c:pt idx="6">
                  <c:v>51.949840730625972</c:v>
                </c:pt>
                <c:pt idx="7">
                  <c:v>53.4128989400348</c:v>
                </c:pt>
                <c:pt idx="8">
                  <c:v>52.556700123710478</c:v>
                </c:pt>
                <c:pt idx="9">
                  <c:v>50.128159020773637</c:v>
                </c:pt>
                <c:pt idx="10">
                  <c:v>46.89112183156621</c:v>
                </c:pt>
                <c:pt idx="11">
                  <c:v>43.593255342126639</c:v>
                </c:pt>
                <c:pt idx="12">
                  <c:v>40.821946578638574</c:v>
                </c:pt>
                <c:pt idx="13">
                  <c:v>38.85320003471552</c:v>
                </c:pt>
                <c:pt idx="14">
                  <c:v>37.678908250888384</c:v>
                </c:pt>
                <c:pt idx="15">
                  <c:v>37.128526220395067</c:v>
                </c:pt>
                <c:pt idx="16">
                  <c:v>37.00166863766772</c:v>
                </c:pt>
              </c:numCache>
            </c:numRef>
          </c:val>
          <c:extLst>
            <c:ext xmlns:c16="http://schemas.microsoft.com/office/drawing/2014/chart" uri="{C3380CC4-5D6E-409C-BE32-E72D297353CC}">
              <c16:uniqueId val="{00000003-ACA5-8D45-AF7F-63BC6FA9443B}"/>
            </c:ext>
          </c:extLst>
        </c:ser>
        <c:ser>
          <c:idx val="4"/>
          <c:order val="4"/>
          <c:tx>
            <c:strRef>
              <c:f>MINEX_IW_Pot!$C$31</c:f>
              <c:strCache>
                <c:ptCount val="1"/>
                <c:pt idx="0">
                  <c:v>SAARC</c:v>
                </c:pt>
              </c:strCache>
            </c:strRef>
          </c:tx>
          <c:spPr>
            <a:solidFill>
              <a:schemeClr val="accent5"/>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MINEX_IW_Pot!$D$31:$T$31</c:f>
              <c:numCache>
                <c:formatCode>General</c:formatCode>
                <c:ptCount val="17"/>
                <c:pt idx="0">
                  <c:v>28.144864807530414</c:v>
                </c:pt>
                <c:pt idx="1">
                  <c:v>39.239946612039923</c:v>
                </c:pt>
                <c:pt idx="2">
                  <c:v>48.506258469436567</c:v>
                </c:pt>
                <c:pt idx="3">
                  <c:v>54.285719813835357</c:v>
                </c:pt>
                <c:pt idx="4">
                  <c:v>55.871451934146172</c:v>
                </c:pt>
                <c:pt idx="5">
                  <c:v>53.781910761720191</c:v>
                </c:pt>
                <c:pt idx="6">
                  <c:v>49.354147701836986</c:v>
                </c:pt>
                <c:pt idx="7">
                  <c:v>43.290009618051528</c:v>
                </c:pt>
                <c:pt idx="8">
                  <c:v>37.546423388847536</c:v>
                </c:pt>
                <c:pt idx="9">
                  <c:v>32.743023536484188</c:v>
                </c:pt>
                <c:pt idx="10">
                  <c:v>29.011721469436662</c:v>
                </c:pt>
                <c:pt idx="11">
                  <c:v>26.21820868735961</c:v>
                </c:pt>
                <c:pt idx="12">
                  <c:v>24.141757657943998</c:v>
                </c:pt>
                <c:pt idx="13">
                  <c:v>22.570873675724314</c:v>
                </c:pt>
                <c:pt idx="14">
                  <c:v>21.34713533642757</c:v>
                </c:pt>
                <c:pt idx="15">
                  <c:v>20.354297273371099</c:v>
                </c:pt>
                <c:pt idx="16">
                  <c:v>19.518900702433591</c:v>
                </c:pt>
              </c:numCache>
            </c:numRef>
          </c:val>
          <c:extLst>
            <c:ext xmlns:c16="http://schemas.microsoft.com/office/drawing/2014/chart" uri="{C3380CC4-5D6E-409C-BE32-E72D297353CC}">
              <c16:uniqueId val="{00000004-ACA5-8D45-AF7F-63BC6FA9443B}"/>
            </c:ext>
          </c:extLst>
        </c:ser>
        <c:ser>
          <c:idx val="5"/>
          <c:order val="5"/>
          <c:tx>
            <c:strRef>
              <c:f>MINEX_IW_Pot!$C$32</c:f>
              <c:strCache>
                <c:ptCount val="1"/>
                <c:pt idx="0">
                  <c:v>Northeast Asia</c:v>
                </c:pt>
              </c:strCache>
            </c:strRef>
          </c:tx>
          <c:spPr>
            <a:solidFill>
              <a:schemeClr val="accent6"/>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MINEX_IW_Pot!$D$32:$T$32</c:f>
              <c:numCache>
                <c:formatCode>General</c:formatCode>
                <c:ptCount val="17"/>
                <c:pt idx="0">
                  <c:v>57.741469740911143</c:v>
                </c:pt>
                <c:pt idx="1">
                  <c:v>53.548920070791176</c:v>
                </c:pt>
                <c:pt idx="2">
                  <c:v>46.280109148624931</c:v>
                </c:pt>
                <c:pt idx="3">
                  <c:v>38.3351279485384</c:v>
                </c:pt>
                <c:pt idx="4">
                  <c:v>31.074023571788533</c:v>
                </c:pt>
                <c:pt idx="5">
                  <c:v>24.930414694402295</c:v>
                </c:pt>
                <c:pt idx="6">
                  <c:v>19.813318155463161</c:v>
                </c:pt>
                <c:pt idx="7">
                  <c:v>17.858457945837948</c:v>
                </c:pt>
                <c:pt idx="8">
                  <c:v>16.337661979158714</c:v>
                </c:pt>
                <c:pt idx="9">
                  <c:v>15.106369052724318</c:v>
                </c:pt>
                <c:pt idx="10">
                  <c:v>14.094792036098257</c:v>
                </c:pt>
                <c:pt idx="11">
                  <c:v>13.261006424049075</c:v>
                </c:pt>
                <c:pt idx="12">
                  <c:v>12.57136533769812</c:v>
                </c:pt>
                <c:pt idx="13">
                  <c:v>11.998566640650568</c:v>
                </c:pt>
                <c:pt idx="14">
                  <c:v>11.523269378452129</c:v>
                </c:pt>
                <c:pt idx="15">
                  <c:v>11.124428568213709</c:v>
                </c:pt>
                <c:pt idx="16">
                  <c:v>10.771719374340137</c:v>
                </c:pt>
              </c:numCache>
            </c:numRef>
          </c:val>
          <c:extLst>
            <c:ext xmlns:c16="http://schemas.microsoft.com/office/drawing/2014/chart" uri="{C3380CC4-5D6E-409C-BE32-E72D297353CC}">
              <c16:uniqueId val="{00000005-ACA5-8D45-AF7F-63BC6FA9443B}"/>
            </c:ext>
          </c:extLst>
        </c:ser>
        <c:ser>
          <c:idx val="6"/>
          <c:order val="6"/>
          <c:tx>
            <c:strRef>
              <c:f>MINEX_IW_Pot!$C$33</c:f>
              <c:strCache>
                <c:ptCount val="1"/>
                <c:pt idx="0">
                  <c:v>Southeast Asia</c:v>
                </c:pt>
              </c:strCache>
            </c:strRef>
          </c:tx>
          <c:spPr>
            <a:solidFill>
              <a:schemeClr val="accent1">
                <a:lumMod val="60000"/>
              </a:schemeClr>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MINEX_IW_Pot!$D$33:$T$33</c:f>
              <c:numCache>
                <c:formatCode>General</c:formatCode>
                <c:ptCount val="17"/>
                <c:pt idx="0">
                  <c:v>15.133205413871774</c:v>
                </c:pt>
                <c:pt idx="1">
                  <c:v>17.483997508698049</c:v>
                </c:pt>
                <c:pt idx="2">
                  <c:v>18.779395160530772</c:v>
                </c:pt>
                <c:pt idx="3">
                  <c:v>18.829939488579583</c:v>
                </c:pt>
                <c:pt idx="4">
                  <c:v>17.838990159623794</c:v>
                </c:pt>
                <c:pt idx="5">
                  <c:v>16.265141236284723</c:v>
                </c:pt>
                <c:pt idx="6">
                  <c:v>14.578792331340532</c:v>
                </c:pt>
                <c:pt idx="7">
                  <c:v>12.839767975142605</c:v>
                </c:pt>
                <c:pt idx="8">
                  <c:v>11.429430200321102</c:v>
                </c:pt>
                <c:pt idx="9">
                  <c:v>10.351362599984325</c:v>
                </c:pt>
                <c:pt idx="10">
                  <c:v>9.5483171069354587</c:v>
                </c:pt>
                <c:pt idx="11">
                  <c:v>8.9523674257677772</c:v>
                </c:pt>
                <c:pt idx="12">
                  <c:v>8.503684240390605</c:v>
                </c:pt>
                <c:pt idx="13">
                  <c:v>8.1555124442788891</c:v>
                </c:pt>
                <c:pt idx="14">
                  <c:v>7.8752763714464571</c:v>
                </c:pt>
                <c:pt idx="15">
                  <c:v>7.6407941719518071</c:v>
                </c:pt>
                <c:pt idx="16">
                  <c:v>7.4372384593933747</c:v>
                </c:pt>
              </c:numCache>
            </c:numRef>
          </c:val>
          <c:extLst>
            <c:ext xmlns:c16="http://schemas.microsoft.com/office/drawing/2014/chart" uri="{C3380CC4-5D6E-409C-BE32-E72D297353CC}">
              <c16:uniqueId val="{00000006-ACA5-8D45-AF7F-63BC6FA9443B}"/>
            </c:ext>
          </c:extLst>
        </c:ser>
        <c:ser>
          <c:idx val="7"/>
          <c:order val="7"/>
          <c:tx>
            <c:strRef>
              <c:f>MINEX_IW_Pot!$C$34</c:f>
              <c:strCache>
                <c:ptCount val="1"/>
                <c:pt idx="0">
                  <c:v>North America</c:v>
                </c:pt>
              </c:strCache>
            </c:strRef>
          </c:tx>
          <c:spPr>
            <a:solidFill>
              <a:schemeClr val="accent2">
                <a:lumMod val="60000"/>
              </a:schemeClr>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MINEX_IW_Pot!$D$34:$T$34</c:f>
              <c:numCache>
                <c:formatCode>General</c:formatCode>
                <c:ptCount val="17"/>
                <c:pt idx="0">
                  <c:v>7.2145760411995266</c:v>
                </c:pt>
                <c:pt idx="1">
                  <c:v>7.2457115844843747</c:v>
                </c:pt>
                <c:pt idx="2">
                  <c:v>7.2507972507351655</c:v>
                </c:pt>
                <c:pt idx="3">
                  <c:v>7.212435965716649</c:v>
                </c:pt>
                <c:pt idx="4">
                  <c:v>7.1199765619393256</c:v>
                </c:pt>
                <c:pt idx="5">
                  <c:v>6.9976525792562771</c:v>
                </c:pt>
                <c:pt idx="6">
                  <c:v>6.8810571519639279</c:v>
                </c:pt>
                <c:pt idx="7">
                  <c:v>6.5819058534374477</c:v>
                </c:pt>
                <c:pt idx="8">
                  <c:v>6.3356509070355438</c:v>
                </c:pt>
                <c:pt idx="9">
                  <c:v>6.1465201630245838</c:v>
                </c:pt>
                <c:pt idx="10">
                  <c:v>6.006298997692908</c:v>
                </c:pt>
                <c:pt idx="11">
                  <c:v>5.9021026382244148</c:v>
                </c:pt>
                <c:pt idx="12">
                  <c:v>5.8234873617957383</c:v>
                </c:pt>
                <c:pt idx="13">
                  <c:v>5.7636444976014873</c:v>
                </c:pt>
                <c:pt idx="14">
                  <c:v>5.7190983284498813</c:v>
                </c:pt>
                <c:pt idx="15">
                  <c:v>5.6885720724655506</c:v>
                </c:pt>
                <c:pt idx="16">
                  <c:v>5.6699610379304133</c:v>
                </c:pt>
              </c:numCache>
            </c:numRef>
          </c:val>
          <c:extLst>
            <c:ext xmlns:c16="http://schemas.microsoft.com/office/drawing/2014/chart" uri="{C3380CC4-5D6E-409C-BE32-E72D297353CC}">
              <c16:uniqueId val="{00000007-ACA5-8D45-AF7F-63BC6FA9443B}"/>
            </c:ext>
          </c:extLst>
        </c:ser>
        <c:ser>
          <c:idx val="8"/>
          <c:order val="8"/>
          <c:tx>
            <c:strRef>
              <c:f>MINEX_IW_Pot!$C$35</c:f>
              <c:strCache>
                <c:ptCount val="1"/>
                <c:pt idx="0">
                  <c:v>South America</c:v>
                </c:pt>
              </c:strCache>
            </c:strRef>
          </c:tx>
          <c:spPr>
            <a:solidFill>
              <a:schemeClr val="accent3">
                <a:lumMod val="60000"/>
              </a:schemeClr>
            </a:solidFill>
            <a:ln>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MINEX_IW_Pot!$D$35:$T$35</c:f>
              <c:numCache>
                <c:formatCode>General</c:formatCode>
                <c:ptCount val="17"/>
                <c:pt idx="0">
                  <c:v>9.0407970199811523</c:v>
                </c:pt>
                <c:pt idx="1">
                  <c:v>10.035394676311828</c:v>
                </c:pt>
                <c:pt idx="2">
                  <c:v>10.634688876044807</c:v>
                </c:pt>
                <c:pt idx="3">
                  <c:v>10.79763093683556</c:v>
                </c:pt>
                <c:pt idx="4">
                  <c:v>10.599367352954213</c:v>
                </c:pt>
                <c:pt idx="5">
                  <c:v>10.1836671302146</c:v>
                </c:pt>
                <c:pt idx="6">
                  <c:v>9.7107446574435077</c:v>
                </c:pt>
                <c:pt idx="7">
                  <c:v>8.6462730450623937</c:v>
                </c:pt>
                <c:pt idx="8">
                  <c:v>7.7230620753495716</c:v>
                </c:pt>
                <c:pt idx="9">
                  <c:v>6.9664513714438181</c:v>
                </c:pt>
                <c:pt idx="10">
                  <c:v>6.3656775483773815</c:v>
                </c:pt>
                <c:pt idx="11">
                  <c:v>5.8933395978511154</c:v>
                </c:pt>
                <c:pt idx="12">
                  <c:v>5.5191278479324177</c:v>
                </c:pt>
                <c:pt idx="13">
                  <c:v>5.2178459968099302</c:v>
                </c:pt>
                <c:pt idx="14">
                  <c:v>4.9697481945943487</c:v>
                </c:pt>
                <c:pt idx="15">
                  <c:v>4.7602688196477336</c:v>
                </c:pt>
                <c:pt idx="16">
                  <c:v>4.5793514187414388</c:v>
                </c:pt>
              </c:numCache>
            </c:numRef>
          </c:val>
          <c:extLst>
            <c:ext xmlns:c16="http://schemas.microsoft.com/office/drawing/2014/chart" uri="{C3380CC4-5D6E-409C-BE32-E72D297353CC}">
              <c16:uniqueId val="{00000008-ACA5-8D45-AF7F-63BC6FA9443B}"/>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cement</a:t>
                </a:r>
                <a:r>
                  <a:rPr lang="en-US" sz="1400" b="1" baseline="0">
                    <a:solidFill>
                      <a:schemeClr val="tx1"/>
                    </a:solidFill>
                    <a:latin typeface="Arial" panose="020B0604020202020204" pitchFamily="34" charset="0"/>
                    <a:cs typeface="Arial" panose="020B0604020202020204" pitchFamily="34" charset="0"/>
                  </a:rPr>
                  <a:t> kiln dust</a:t>
                </a:r>
                <a:r>
                  <a:rPr lang="en-US" sz="1400" b="1">
                    <a:solidFill>
                      <a:schemeClr val="tx1"/>
                    </a:solidFill>
                    <a:latin typeface="Arial" panose="020B0604020202020204" pitchFamily="34" charset="0"/>
                    <a:cs typeface="Arial" panose="020B0604020202020204" pitchFamily="34" charset="0"/>
                  </a:rPr>
                  <a:t> [MtCO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minorUnit val="25"/>
      </c:valAx>
      <c:spPr>
        <a:noFill/>
        <a:ln w="19050">
          <a:solidFill>
            <a:schemeClr val="tx1"/>
          </a:solidFill>
        </a:ln>
        <a:effectLst/>
      </c:spPr>
    </c:plotArea>
    <c:legend>
      <c:legendPos val="tr"/>
      <c:layout>
        <c:manualLayout>
          <c:xMode val="edge"/>
          <c:yMode val="edge"/>
          <c:x val="0.17288598327041815"/>
          <c:y val="4.7564583333333341E-2"/>
          <c:w val="0.77045983531206608"/>
          <c:h val="0.12156898148148149"/>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MINEX_IW_Pot!$C$27</c:f>
              <c:strCache>
                <c:ptCount val="1"/>
                <c:pt idx="0">
                  <c:v>Europe</c:v>
                </c:pt>
              </c:strCache>
            </c:strRef>
          </c:tx>
          <c:spPr>
            <a:solidFill>
              <a:schemeClr val="accent1"/>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MINEX_IW_Pot!$U$27:$AK$27</c:f>
              <c:numCache>
                <c:formatCode>General</c:formatCode>
                <c:ptCount val="17"/>
                <c:pt idx="0">
                  <c:v>30.086290851517049</c:v>
                </c:pt>
                <c:pt idx="1">
                  <c:v>28.021053430330131</c:v>
                </c:pt>
                <c:pt idx="2">
                  <c:v>25.493788383361249</c:v>
                </c:pt>
                <c:pt idx="3">
                  <c:v>23.557876528488677</c:v>
                </c:pt>
                <c:pt idx="4">
                  <c:v>22.554527114051574</c:v>
                </c:pt>
                <c:pt idx="5">
                  <c:v>21.946644495994988</c:v>
                </c:pt>
                <c:pt idx="6">
                  <c:v>21.170970319378984</c:v>
                </c:pt>
                <c:pt idx="7">
                  <c:v>20.329079172122299</c:v>
                </c:pt>
                <c:pt idx="8">
                  <c:v>19.759243358864275</c:v>
                </c:pt>
                <c:pt idx="9">
                  <c:v>19.444725710878583</c:v>
                </c:pt>
                <c:pt idx="10">
                  <c:v>19.191737231943986</c:v>
                </c:pt>
                <c:pt idx="11">
                  <c:v>18.951011327948404</c:v>
                </c:pt>
                <c:pt idx="12">
                  <c:v>18.760468018154267</c:v>
                </c:pt>
                <c:pt idx="13">
                  <c:v>18.621369831571826</c:v>
                </c:pt>
                <c:pt idx="14">
                  <c:v>18.501262037522807</c:v>
                </c:pt>
                <c:pt idx="15">
                  <c:v>18.368857859341436</c:v>
                </c:pt>
                <c:pt idx="16">
                  <c:v>18.209292977337462</c:v>
                </c:pt>
              </c:numCache>
            </c:numRef>
          </c:val>
          <c:extLst>
            <c:ext xmlns:c16="http://schemas.microsoft.com/office/drawing/2014/chart" uri="{C3380CC4-5D6E-409C-BE32-E72D297353CC}">
              <c16:uniqueId val="{00000000-249A-1641-81FB-E80B9BE94201}"/>
            </c:ext>
          </c:extLst>
        </c:ser>
        <c:ser>
          <c:idx val="1"/>
          <c:order val="1"/>
          <c:tx>
            <c:strRef>
              <c:f>MINEX_IW_Pot!$C$28</c:f>
              <c:strCache>
                <c:ptCount val="1"/>
                <c:pt idx="0">
                  <c:v>Eurasia</c:v>
                </c:pt>
              </c:strCache>
            </c:strRef>
          </c:tx>
          <c:spPr>
            <a:solidFill>
              <a:schemeClr val="accent2"/>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MINEX_IW_Pot!$U$28:$AK$28</c:f>
              <c:numCache>
                <c:formatCode>General</c:formatCode>
                <c:ptCount val="17"/>
                <c:pt idx="0">
                  <c:v>12.368515555697256</c:v>
                </c:pt>
                <c:pt idx="1">
                  <c:v>12.486397060445995</c:v>
                </c:pt>
                <c:pt idx="2">
                  <c:v>11.297778923640069</c:v>
                </c:pt>
                <c:pt idx="3">
                  <c:v>9.7577682383627842</c:v>
                </c:pt>
                <c:pt idx="4">
                  <c:v>8.7575838949047959</c:v>
                </c:pt>
                <c:pt idx="5">
                  <c:v>8.270302360256947</c:v>
                </c:pt>
                <c:pt idx="6">
                  <c:v>7.8030700963471347</c:v>
                </c:pt>
                <c:pt idx="7">
                  <c:v>7.3460040923688856</c:v>
                </c:pt>
                <c:pt idx="8">
                  <c:v>7.1382709371931057</c:v>
                </c:pt>
                <c:pt idx="9">
                  <c:v>7.0775828272446306</c:v>
                </c:pt>
                <c:pt idx="10">
                  <c:v>6.98888921197132</c:v>
                </c:pt>
                <c:pt idx="11">
                  <c:v>6.901206379827511</c:v>
                </c:pt>
                <c:pt idx="12">
                  <c:v>6.8809639819503836</c:v>
                </c:pt>
                <c:pt idx="13">
                  <c:v>6.9149052186955444</c:v>
                </c:pt>
                <c:pt idx="14">
                  <c:v>6.9553828403590687</c:v>
                </c:pt>
                <c:pt idx="15">
                  <c:v>6.9681097207203608</c:v>
                </c:pt>
                <c:pt idx="16">
                  <c:v>6.9431261326281568</c:v>
                </c:pt>
              </c:numCache>
            </c:numRef>
          </c:val>
          <c:extLst>
            <c:ext xmlns:c16="http://schemas.microsoft.com/office/drawing/2014/chart" uri="{C3380CC4-5D6E-409C-BE32-E72D297353CC}">
              <c16:uniqueId val="{00000001-249A-1641-81FB-E80B9BE94201}"/>
            </c:ext>
          </c:extLst>
        </c:ser>
        <c:ser>
          <c:idx val="2"/>
          <c:order val="2"/>
          <c:tx>
            <c:strRef>
              <c:f>MINEX_IW_Pot!$C$29</c:f>
              <c:strCache>
                <c:ptCount val="1"/>
                <c:pt idx="0">
                  <c:v>MENA</c:v>
                </c:pt>
              </c:strCache>
            </c:strRef>
          </c:tx>
          <c:spPr>
            <a:solidFill>
              <a:schemeClr val="accent3"/>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MINEX_IW_Pot!$U$29:$AK$29</c:f>
              <c:numCache>
                <c:formatCode>General</c:formatCode>
                <c:ptCount val="17"/>
                <c:pt idx="0">
                  <c:v>12.277236104888045</c:v>
                </c:pt>
                <c:pt idx="1">
                  <c:v>17.14403489446325</c:v>
                </c:pt>
                <c:pt idx="2">
                  <c:v>23.255159157905972</c:v>
                </c:pt>
                <c:pt idx="3">
                  <c:v>29.249647391027434</c:v>
                </c:pt>
                <c:pt idx="4">
                  <c:v>32.826664498345274</c:v>
                </c:pt>
                <c:pt idx="5">
                  <c:v>32.160856224748237</c:v>
                </c:pt>
                <c:pt idx="6">
                  <c:v>28.098026707500143</c:v>
                </c:pt>
                <c:pt idx="7">
                  <c:v>24.005867293083899</c:v>
                </c:pt>
                <c:pt idx="8">
                  <c:v>22.640569045286885</c:v>
                </c:pt>
                <c:pt idx="9">
                  <c:v>23.606279165700563</c:v>
                </c:pt>
                <c:pt idx="10">
                  <c:v>24.479149245237569</c:v>
                </c:pt>
                <c:pt idx="11">
                  <c:v>24.077533433621088</c:v>
                </c:pt>
                <c:pt idx="12">
                  <c:v>23.450040007906274</c:v>
                </c:pt>
                <c:pt idx="13">
                  <c:v>23.469419566309274</c:v>
                </c:pt>
                <c:pt idx="14">
                  <c:v>23.779588272303812</c:v>
                </c:pt>
                <c:pt idx="15">
                  <c:v>24.057540237525618</c:v>
                </c:pt>
                <c:pt idx="16">
                  <c:v>24.285724801664866</c:v>
                </c:pt>
              </c:numCache>
            </c:numRef>
          </c:val>
          <c:extLst>
            <c:ext xmlns:c16="http://schemas.microsoft.com/office/drawing/2014/chart" uri="{C3380CC4-5D6E-409C-BE32-E72D297353CC}">
              <c16:uniqueId val="{00000002-249A-1641-81FB-E80B9BE94201}"/>
            </c:ext>
          </c:extLst>
        </c:ser>
        <c:ser>
          <c:idx val="3"/>
          <c:order val="3"/>
          <c:tx>
            <c:strRef>
              <c:f>MINEX_IW_Pot!$C$30</c:f>
              <c:strCache>
                <c:ptCount val="1"/>
                <c:pt idx="0">
                  <c:v>SSA</c:v>
                </c:pt>
              </c:strCache>
            </c:strRef>
          </c:tx>
          <c:spPr>
            <a:solidFill>
              <a:schemeClr val="accent4"/>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MINEX_IW_Pot!$U$30:$AK$30</c:f>
              <c:numCache>
                <c:formatCode>General</c:formatCode>
                <c:ptCount val="17"/>
                <c:pt idx="0">
                  <c:v>4.0478525467836057</c:v>
                </c:pt>
                <c:pt idx="1">
                  <c:v>6.7046368307228299</c:v>
                </c:pt>
                <c:pt idx="2">
                  <c:v>11.331815414509594</c:v>
                </c:pt>
                <c:pt idx="3">
                  <c:v>19.039250734546798</c:v>
                </c:pt>
                <c:pt idx="4">
                  <c:v>30.616369067578411</c:v>
                </c:pt>
                <c:pt idx="5">
                  <c:v>44.808616637420322</c:v>
                </c:pt>
                <c:pt idx="6">
                  <c:v>56.507391200183477</c:v>
                </c:pt>
                <c:pt idx="7">
                  <c:v>59.609746940850322</c:v>
                </c:pt>
                <c:pt idx="8">
                  <c:v>54.007306415109582</c:v>
                </c:pt>
                <c:pt idx="9">
                  <c:v>45.950174979775163</c:v>
                </c:pt>
                <c:pt idx="10">
                  <c:v>42.328210973666032</c:v>
                </c:pt>
                <c:pt idx="11">
                  <c:v>44.499568907692712</c:v>
                </c:pt>
                <c:pt idx="12">
                  <c:v>47.765174468769338</c:v>
                </c:pt>
                <c:pt idx="13">
                  <c:v>49.073635644874095</c:v>
                </c:pt>
                <c:pt idx="14">
                  <c:v>49.864080689566137</c:v>
                </c:pt>
                <c:pt idx="15">
                  <c:v>51.554402146070608</c:v>
                </c:pt>
                <c:pt idx="16">
                  <c:v>53.712064481284401</c:v>
                </c:pt>
              </c:numCache>
            </c:numRef>
          </c:val>
          <c:extLst>
            <c:ext xmlns:c16="http://schemas.microsoft.com/office/drawing/2014/chart" uri="{C3380CC4-5D6E-409C-BE32-E72D297353CC}">
              <c16:uniqueId val="{00000003-249A-1641-81FB-E80B9BE94201}"/>
            </c:ext>
          </c:extLst>
        </c:ser>
        <c:ser>
          <c:idx val="4"/>
          <c:order val="4"/>
          <c:tx>
            <c:strRef>
              <c:f>MINEX_IW_Pot!$C$31</c:f>
              <c:strCache>
                <c:ptCount val="1"/>
                <c:pt idx="0">
                  <c:v>SAARC</c:v>
                </c:pt>
              </c:strCache>
            </c:strRef>
          </c:tx>
          <c:spPr>
            <a:solidFill>
              <a:schemeClr val="accent5"/>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MINEX_IW_Pot!$U$31:$AK$31</c:f>
              <c:numCache>
                <c:formatCode>General</c:formatCode>
                <c:ptCount val="17"/>
                <c:pt idx="0">
                  <c:v>13.369013900431611</c:v>
                </c:pt>
                <c:pt idx="1">
                  <c:v>26.814864309927248</c:v>
                </c:pt>
                <c:pt idx="2">
                  <c:v>49.098307515416849</c:v>
                </c:pt>
                <c:pt idx="3">
                  <c:v>80.202593572884879</c:v>
                </c:pt>
                <c:pt idx="4">
                  <c:v>113.29141015279556</c:v>
                </c:pt>
                <c:pt idx="5">
                  <c:v>134.09590755758362</c:v>
                </c:pt>
                <c:pt idx="6">
                  <c:v>130.25214455230858</c:v>
                </c:pt>
                <c:pt idx="7">
                  <c:v>105.52702467612389</c:v>
                </c:pt>
                <c:pt idx="8">
                  <c:v>79.401192337155521</c:v>
                </c:pt>
                <c:pt idx="9">
                  <c:v>67.404037974253356</c:v>
                </c:pt>
                <c:pt idx="10">
                  <c:v>67.618431367052352</c:v>
                </c:pt>
                <c:pt idx="11">
                  <c:v>69.591509243044442</c:v>
                </c:pt>
                <c:pt idx="12">
                  <c:v>68.470599564038721</c:v>
                </c:pt>
                <c:pt idx="13">
                  <c:v>66.039780240845673</c:v>
                </c:pt>
                <c:pt idx="14">
                  <c:v>64.434761310983689</c:v>
                </c:pt>
                <c:pt idx="15">
                  <c:v>63.704703336468725</c:v>
                </c:pt>
                <c:pt idx="16">
                  <c:v>63.120621971035895</c:v>
                </c:pt>
              </c:numCache>
            </c:numRef>
          </c:val>
          <c:extLst>
            <c:ext xmlns:c16="http://schemas.microsoft.com/office/drawing/2014/chart" uri="{C3380CC4-5D6E-409C-BE32-E72D297353CC}">
              <c16:uniqueId val="{00000004-249A-1641-81FB-E80B9BE94201}"/>
            </c:ext>
          </c:extLst>
        </c:ser>
        <c:ser>
          <c:idx val="5"/>
          <c:order val="5"/>
          <c:tx>
            <c:strRef>
              <c:f>MINEX_IW_Pot!$C$32</c:f>
              <c:strCache>
                <c:ptCount val="1"/>
                <c:pt idx="0">
                  <c:v>Northeast Asia</c:v>
                </c:pt>
              </c:strCache>
            </c:strRef>
          </c:tx>
          <c:spPr>
            <a:solidFill>
              <a:schemeClr val="accent6"/>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MINEX_IW_Pot!$U$32:$AK$32</c:f>
              <c:numCache>
                <c:formatCode>General</c:formatCode>
                <c:ptCount val="17"/>
                <c:pt idx="0">
                  <c:v>68.929081550514738</c:v>
                </c:pt>
                <c:pt idx="1">
                  <c:v>95.636616779624688</c:v>
                </c:pt>
                <c:pt idx="2">
                  <c:v>101.97318815784655</c:v>
                </c:pt>
                <c:pt idx="3">
                  <c:v>82.421411723959991</c:v>
                </c:pt>
                <c:pt idx="4">
                  <c:v>57.808775037280924</c:v>
                </c:pt>
                <c:pt idx="5">
                  <c:v>47.794156146980235</c:v>
                </c:pt>
                <c:pt idx="6">
                  <c:v>48.611185708014098</c:v>
                </c:pt>
                <c:pt idx="7">
                  <c:v>49.289938115287036</c:v>
                </c:pt>
                <c:pt idx="8">
                  <c:v>47.334293616233388</c:v>
                </c:pt>
                <c:pt idx="9">
                  <c:v>45.01037115065207</c:v>
                </c:pt>
                <c:pt idx="10">
                  <c:v>43.520007744681045</c:v>
                </c:pt>
                <c:pt idx="11">
                  <c:v>42.6006351988459</c:v>
                </c:pt>
                <c:pt idx="12">
                  <c:v>41.771285604454448</c:v>
                </c:pt>
                <c:pt idx="13">
                  <c:v>40.839146987984975</c:v>
                </c:pt>
                <c:pt idx="14">
                  <c:v>39.832434014035378</c:v>
                </c:pt>
                <c:pt idx="15">
                  <c:v>38.818308146283492</c:v>
                </c:pt>
                <c:pt idx="16">
                  <c:v>37.801493820578308</c:v>
                </c:pt>
              </c:numCache>
            </c:numRef>
          </c:val>
          <c:extLst>
            <c:ext xmlns:c16="http://schemas.microsoft.com/office/drawing/2014/chart" uri="{C3380CC4-5D6E-409C-BE32-E72D297353CC}">
              <c16:uniqueId val="{00000005-249A-1641-81FB-E80B9BE94201}"/>
            </c:ext>
          </c:extLst>
        </c:ser>
        <c:ser>
          <c:idx val="6"/>
          <c:order val="6"/>
          <c:tx>
            <c:strRef>
              <c:f>MINEX_IW_Pot!$C$33</c:f>
              <c:strCache>
                <c:ptCount val="1"/>
                <c:pt idx="0">
                  <c:v>Southeast Asia</c:v>
                </c:pt>
              </c:strCache>
            </c:strRef>
          </c:tx>
          <c:spPr>
            <a:solidFill>
              <a:schemeClr val="accent1">
                <a:lumMod val="60000"/>
              </a:schemeClr>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MINEX_IW_Pot!$U$33:$AK$33</c:f>
              <c:numCache>
                <c:formatCode>General</c:formatCode>
                <c:ptCount val="17"/>
                <c:pt idx="0">
                  <c:v>15.94464840085633</c:v>
                </c:pt>
                <c:pt idx="1">
                  <c:v>23.127325999174715</c:v>
                </c:pt>
                <c:pt idx="2">
                  <c:v>31.765418988011934</c:v>
                </c:pt>
                <c:pt idx="3">
                  <c:v>39.690979252307251</c:v>
                </c:pt>
                <c:pt idx="4">
                  <c:v>43.118273951951331</c:v>
                </c:pt>
                <c:pt idx="5">
                  <c:v>39.41130340626313</c:v>
                </c:pt>
                <c:pt idx="6">
                  <c:v>31.13111541019828</c:v>
                </c:pt>
                <c:pt idx="7">
                  <c:v>24.662840063811458</c:v>
                </c:pt>
                <c:pt idx="8">
                  <c:v>23.072407047978313</c:v>
                </c:pt>
                <c:pt idx="9">
                  <c:v>23.911333843928375</c:v>
                </c:pt>
                <c:pt idx="10">
                  <c:v>24.336132833108401</c:v>
                </c:pt>
                <c:pt idx="11">
                  <c:v>24.01642292700042</c:v>
                </c:pt>
                <c:pt idx="12">
                  <c:v>23.606080427196634</c:v>
                </c:pt>
                <c:pt idx="13">
                  <c:v>23.408535495898509</c:v>
                </c:pt>
                <c:pt idx="14">
                  <c:v>23.354125835499421</c:v>
                </c:pt>
                <c:pt idx="15">
                  <c:v>23.29240618029278</c:v>
                </c:pt>
                <c:pt idx="16">
                  <c:v>23.140261350522575</c:v>
                </c:pt>
              </c:numCache>
            </c:numRef>
          </c:val>
          <c:extLst>
            <c:ext xmlns:c16="http://schemas.microsoft.com/office/drawing/2014/chart" uri="{C3380CC4-5D6E-409C-BE32-E72D297353CC}">
              <c16:uniqueId val="{00000006-249A-1641-81FB-E80B9BE94201}"/>
            </c:ext>
          </c:extLst>
        </c:ser>
        <c:ser>
          <c:idx val="7"/>
          <c:order val="7"/>
          <c:tx>
            <c:strRef>
              <c:f>MINEX_IW_Pot!$C$34</c:f>
              <c:strCache>
                <c:ptCount val="1"/>
                <c:pt idx="0">
                  <c:v>North America</c:v>
                </c:pt>
              </c:strCache>
            </c:strRef>
          </c:tx>
          <c:spPr>
            <a:solidFill>
              <a:schemeClr val="accent2">
                <a:lumMod val="60000"/>
              </a:schemeClr>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MINEX_IW_Pot!$U$34:$AK$34</c:f>
              <c:numCache>
                <c:formatCode>General</c:formatCode>
                <c:ptCount val="17"/>
                <c:pt idx="0">
                  <c:v>17.650454934848526</c:v>
                </c:pt>
                <c:pt idx="1">
                  <c:v>19.507383030675818</c:v>
                </c:pt>
                <c:pt idx="2">
                  <c:v>21.283290489361661</c:v>
                </c:pt>
                <c:pt idx="3">
                  <c:v>22.389116166830835</c:v>
                </c:pt>
                <c:pt idx="4">
                  <c:v>22.381891073414931</c:v>
                </c:pt>
                <c:pt idx="5">
                  <c:v>21.262089824884715</c:v>
                </c:pt>
                <c:pt idx="6">
                  <c:v>19.640226326823111</c:v>
                </c:pt>
                <c:pt idx="7">
                  <c:v>18.462133044022039</c:v>
                </c:pt>
                <c:pt idx="8">
                  <c:v>18.25536665917981</c:v>
                </c:pt>
                <c:pt idx="9">
                  <c:v>18.728507929926703</c:v>
                </c:pt>
                <c:pt idx="10">
                  <c:v>19.260983179599155</c:v>
                </c:pt>
                <c:pt idx="11">
                  <c:v>19.547280994815971</c:v>
                </c:pt>
                <c:pt idx="12">
                  <c:v>19.65959948935922</c:v>
                </c:pt>
                <c:pt idx="13">
                  <c:v>19.747809484418983</c:v>
                </c:pt>
                <c:pt idx="14">
                  <c:v>19.86876335841777</c:v>
                </c:pt>
                <c:pt idx="15">
                  <c:v>20.00876554946899</c:v>
                </c:pt>
                <c:pt idx="16">
                  <c:v>20.13970483564399</c:v>
                </c:pt>
              </c:numCache>
            </c:numRef>
          </c:val>
          <c:extLst>
            <c:ext xmlns:c16="http://schemas.microsoft.com/office/drawing/2014/chart" uri="{C3380CC4-5D6E-409C-BE32-E72D297353CC}">
              <c16:uniqueId val="{00000007-249A-1641-81FB-E80B9BE94201}"/>
            </c:ext>
          </c:extLst>
        </c:ser>
        <c:ser>
          <c:idx val="8"/>
          <c:order val="8"/>
          <c:tx>
            <c:strRef>
              <c:f>MINEX_IW_Pot!$C$35</c:f>
              <c:strCache>
                <c:ptCount val="1"/>
                <c:pt idx="0">
                  <c:v>South America</c:v>
                </c:pt>
              </c:strCache>
            </c:strRef>
          </c:tx>
          <c:spPr>
            <a:solidFill>
              <a:schemeClr val="accent3">
                <a:lumMod val="60000"/>
              </a:schemeClr>
            </a:solidFill>
            <a:ln w="25400">
              <a:noFill/>
            </a:ln>
            <a:effectLst/>
          </c:spPr>
          <c:cat>
            <c:numRef>
              <c:f>MINEX_IW_Pot!$U$26:$AK$26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MINEX_IW_Pot!$U$35:$AK$35</c:f>
              <c:numCache>
                <c:formatCode>General</c:formatCode>
                <c:ptCount val="17"/>
                <c:pt idx="0">
                  <c:v>18.398732465613538</c:v>
                </c:pt>
                <c:pt idx="1">
                  <c:v>23.343888584236872</c:v>
                </c:pt>
                <c:pt idx="2">
                  <c:v>28.129922433033805</c:v>
                </c:pt>
                <c:pt idx="3">
                  <c:v>31.382267937629319</c:v>
                </c:pt>
                <c:pt idx="4">
                  <c:v>31.681870156164809</c:v>
                </c:pt>
                <c:pt idx="5">
                  <c:v>28.720888275457902</c:v>
                </c:pt>
                <c:pt idx="6">
                  <c:v>24.02546843006418</c:v>
                </c:pt>
                <c:pt idx="7">
                  <c:v>19.973429194394662</c:v>
                </c:pt>
                <c:pt idx="8">
                  <c:v>17.908481958405318</c:v>
                </c:pt>
                <c:pt idx="9">
                  <c:v>17.468682005239863</c:v>
                </c:pt>
                <c:pt idx="10">
                  <c:v>17.544502567033327</c:v>
                </c:pt>
                <c:pt idx="11">
                  <c:v>17.39213660681559</c:v>
                </c:pt>
                <c:pt idx="12">
                  <c:v>16.953951399509123</c:v>
                </c:pt>
                <c:pt idx="13">
                  <c:v>16.499215625443021</c:v>
                </c:pt>
                <c:pt idx="14">
                  <c:v>16.184800803904423</c:v>
                </c:pt>
                <c:pt idx="15">
                  <c:v>15.97231831446366</c:v>
                </c:pt>
                <c:pt idx="16">
                  <c:v>15.765625040524544</c:v>
                </c:pt>
              </c:numCache>
            </c:numRef>
          </c:val>
          <c:extLst>
            <c:ext xmlns:c16="http://schemas.microsoft.com/office/drawing/2014/chart" uri="{C3380CC4-5D6E-409C-BE32-E72D297353CC}">
              <c16:uniqueId val="{00000008-249A-1641-81FB-E80B9BE94201}"/>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steel</a:t>
                </a:r>
                <a:r>
                  <a:rPr lang="en-US" sz="1400" b="1" baseline="0">
                    <a:solidFill>
                      <a:schemeClr val="tx1"/>
                    </a:solidFill>
                    <a:latin typeface="Arial" panose="020B0604020202020204" pitchFamily="34" charset="0"/>
                    <a:cs typeface="Arial" panose="020B0604020202020204" pitchFamily="34" charset="0"/>
                  </a:rPr>
                  <a:t> slag</a:t>
                </a:r>
                <a:r>
                  <a:rPr lang="en-US" sz="1400" b="1">
                    <a:solidFill>
                      <a:schemeClr val="tx1"/>
                    </a:solidFill>
                    <a:latin typeface="Arial" panose="020B0604020202020204" pitchFamily="34" charset="0"/>
                    <a:cs typeface="Arial" panose="020B0604020202020204" pitchFamily="34" charset="0"/>
                  </a:rPr>
                  <a:t> [MtCO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minorUnit val="25"/>
      </c:valAx>
      <c:spPr>
        <a:noFill/>
        <a:ln w="19050">
          <a:solidFill>
            <a:schemeClr val="tx1"/>
          </a:solidFill>
        </a:ln>
        <a:effectLst/>
      </c:spPr>
    </c:plotArea>
    <c:legend>
      <c:legendPos val="tr"/>
      <c:layout>
        <c:manualLayout>
          <c:xMode val="edge"/>
          <c:yMode val="edge"/>
          <c:x val="0.69245816993464049"/>
          <c:y val="3.8745145416327266E-2"/>
          <c:w val="0.25088765883649211"/>
          <c:h val="0.56842083333333338"/>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MINEX_IW_Pot!$C$27</c:f>
              <c:strCache>
                <c:ptCount val="1"/>
                <c:pt idx="0">
                  <c:v>Europe</c:v>
                </c:pt>
              </c:strCache>
            </c:strRef>
          </c:tx>
          <c:spPr>
            <a:solidFill>
              <a:schemeClr val="accent1"/>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MINEX_IW_Pot!$AL$27:$BB$27</c:f>
              <c:numCache>
                <c:formatCode>General</c:formatCode>
                <c:ptCount val="17"/>
                <c:pt idx="0">
                  <c:v>1.2384004216789228</c:v>
                </c:pt>
                <c:pt idx="1">
                  <c:v>1.4428744241581801</c:v>
                </c:pt>
                <c:pt idx="2">
                  <c:v>1.6437525949107954</c:v>
                </c:pt>
                <c:pt idx="3">
                  <c:v>1.8371536750897439</c:v>
                </c:pt>
                <c:pt idx="4">
                  <c:v>2.0172618934362174</c:v>
                </c:pt>
                <c:pt idx="5">
                  <c:v>2.179704836164809</c:v>
                </c:pt>
                <c:pt idx="6">
                  <c:v>2.3208366003301304</c:v>
                </c:pt>
                <c:pt idx="7">
                  <c:v>2.3854060551661331</c:v>
                </c:pt>
                <c:pt idx="8">
                  <c:v>2.4303379125000881</c:v>
                </c:pt>
                <c:pt idx="9">
                  <c:v>2.4592741744590896</c:v>
                </c:pt>
                <c:pt idx="10">
                  <c:v>2.4768473728232601</c:v>
                </c:pt>
                <c:pt idx="11">
                  <c:v>2.486364642620071</c:v>
                </c:pt>
                <c:pt idx="12">
                  <c:v>2.4901207722585363</c:v>
                </c:pt>
                <c:pt idx="13">
                  <c:v>2.4896577518243119</c:v>
                </c:pt>
                <c:pt idx="14">
                  <c:v>2.4858493327236406</c:v>
                </c:pt>
                <c:pt idx="15">
                  <c:v>2.4788008994616484</c:v>
                </c:pt>
                <c:pt idx="16">
                  <c:v>2.4683541786824006</c:v>
                </c:pt>
              </c:numCache>
            </c:numRef>
          </c:val>
          <c:extLst>
            <c:ext xmlns:c16="http://schemas.microsoft.com/office/drawing/2014/chart" uri="{C3380CC4-5D6E-409C-BE32-E72D297353CC}">
              <c16:uniqueId val="{00000000-E54C-CF4F-A38D-C49FBBB79438}"/>
            </c:ext>
          </c:extLst>
        </c:ser>
        <c:ser>
          <c:idx val="1"/>
          <c:order val="1"/>
          <c:tx>
            <c:strRef>
              <c:f>MINEX_IW_Pot!$C$28</c:f>
              <c:strCache>
                <c:ptCount val="1"/>
                <c:pt idx="0">
                  <c:v>Eurasia</c:v>
                </c:pt>
              </c:strCache>
            </c:strRef>
          </c:tx>
          <c:spPr>
            <a:solidFill>
              <a:schemeClr val="accent2"/>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MINEX_IW_Pot!$AL$28:$BB$28</c:f>
              <c:numCache>
                <c:formatCode>General</c:formatCode>
                <c:ptCount val="17"/>
                <c:pt idx="0">
                  <c:v>1.3510690644529113</c:v>
                </c:pt>
                <c:pt idx="1">
                  <c:v>1.2604694364396185</c:v>
                </c:pt>
                <c:pt idx="2">
                  <c:v>1.1640047570892333</c:v>
                </c:pt>
                <c:pt idx="3">
                  <c:v>1.0660163975713093</c:v>
                </c:pt>
                <c:pt idx="4">
                  <c:v>0.96901051745010081</c:v>
                </c:pt>
                <c:pt idx="5">
                  <c:v>0.87212113014237058</c:v>
                </c:pt>
                <c:pt idx="6">
                  <c:v>0.77229566058419274</c:v>
                </c:pt>
                <c:pt idx="7">
                  <c:v>0.82201191530264683</c:v>
                </c:pt>
                <c:pt idx="8">
                  <c:v>0.86373030727947087</c:v>
                </c:pt>
                <c:pt idx="9">
                  <c:v>0.8973319998777991</c:v>
                </c:pt>
                <c:pt idx="10">
                  <c:v>0.92391974473429062</c:v>
                </c:pt>
                <c:pt idx="11">
                  <c:v>0.94552762194721707</c:v>
                </c:pt>
                <c:pt idx="12">
                  <c:v>0.96401316860270825</c:v>
                </c:pt>
                <c:pt idx="13">
                  <c:v>0.98026832795794372</c:v>
                </c:pt>
                <c:pt idx="14">
                  <c:v>0.99404679344477043</c:v>
                </c:pt>
                <c:pt idx="15">
                  <c:v>1.0042514319399114</c:v>
                </c:pt>
                <c:pt idx="16">
                  <c:v>1.0102115952093198</c:v>
                </c:pt>
              </c:numCache>
            </c:numRef>
          </c:val>
          <c:extLst>
            <c:ext xmlns:c16="http://schemas.microsoft.com/office/drawing/2014/chart" uri="{C3380CC4-5D6E-409C-BE32-E72D297353CC}">
              <c16:uniqueId val="{00000001-E54C-CF4F-A38D-C49FBBB79438}"/>
            </c:ext>
          </c:extLst>
        </c:ser>
        <c:ser>
          <c:idx val="2"/>
          <c:order val="2"/>
          <c:tx>
            <c:strRef>
              <c:f>MINEX_IW_Pot!$C$29</c:f>
              <c:strCache>
                <c:ptCount val="1"/>
                <c:pt idx="0">
                  <c:v>MENA</c:v>
                </c:pt>
              </c:strCache>
            </c:strRef>
          </c:tx>
          <c:spPr>
            <a:solidFill>
              <a:schemeClr val="accent3"/>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MINEX_IW_Pot!$AL$29:$BB$29</c:f>
              <c:numCache>
                <c:formatCode>General</c:formatCode>
                <c:ptCount val="17"/>
                <c:pt idx="0">
                  <c:v>0.92875701562575708</c:v>
                </c:pt>
                <c:pt idx="1">
                  <c:v>0.95241172590673151</c:v>
                </c:pt>
                <c:pt idx="2">
                  <c:v>0.97215074157775494</c:v>
                </c:pt>
                <c:pt idx="3">
                  <c:v>0.98734466824876965</c:v>
                </c:pt>
                <c:pt idx="4">
                  <c:v>1.0065377820690136</c:v>
                </c:pt>
                <c:pt idx="5">
                  <c:v>1.0302193999079385</c:v>
                </c:pt>
                <c:pt idx="6">
                  <c:v>1.0540462334156748</c:v>
                </c:pt>
                <c:pt idx="7">
                  <c:v>1.1833145933050815</c:v>
                </c:pt>
                <c:pt idx="8">
                  <c:v>1.3041731643092187</c:v>
                </c:pt>
                <c:pt idx="9">
                  <c:v>1.4127830880925067</c:v>
                </c:pt>
                <c:pt idx="10">
                  <c:v>1.5076287978706082</c:v>
                </c:pt>
                <c:pt idx="11">
                  <c:v>1.5893541321721463</c:v>
                </c:pt>
                <c:pt idx="12">
                  <c:v>1.6597174117548432</c:v>
                </c:pt>
                <c:pt idx="13">
                  <c:v>1.7202317753779952</c:v>
                </c:pt>
                <c:pt idx="14">
                  <c:v>1.7712329506686892</c:v>
                </c:pt>
                <c:pt idx="15">
                  <c:v>1.8119520337218031</c:v>
                </c:pt>
                <c:pt idx="16">
                  <c:v>1.8417865835475276</c:v>
                </c:pt>
              </c:numCache>
            </c:numRef>
          </c:val>
          <c:extLst>
            <c:ext xmlns:c16="http://schemas.microsoft.com/office/drawing/2014/chart" uri="{C3380CC4-5D6E-409C-BE32-E72D297353CC}">
              <c16:uniqueId val="{00000002-E54C-CF4F-A38D-C49FBBB79438}"/>
            </c:ext>
          </c:extLst>
        </c:ser>
        <c:ser>
          <c:idx val="3"/>
          <c:order val="3"/>
          <c:tx>
            <c:strRef>
              <c:f>MINEX_IW_Pot!$C$30</c:f>
              <c:strCache>
                <c:ptCount val="1"/>
                <c:pt idx="0">
                  <c:v>SSA</c:v>
                </c:pt>
              </c:strCache>
            </c:strRef>
          </c:tx>
          <c:spPr>
            <a:solidFill>
              <a:schemeClr val="accent4"/>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MINEX_IW_Pot!$AL$30:$BB$30</c:f>
              <c:numCache>
                <c:formatCode>General</c:formatCode>
                <c:ptCount val="17"/>
                <c:pt idx="0">
                  <c:v>0.26148036382971995</c:v>
                </c:pt>
                <c:pt idx="1">
                  <c:v>0.34742502893677768</c:v>
                </c:pt>
                <c:pt idx="2">
                  <c:v>0.47700637881679708</c:v>
                </c:pt>
                <c:pt idx="3">
                  <c:v>0.66575324128831226</c:v>
                </c:pt>
                <c:pt idx="4">
                  <c:v>0.92949392236941997</c:v>
                </c:pt>
                <c:pt idx="5">
                  <c:v>1.2812067451195228</c:v>
                </c:pt>
                <c:pt idx="6">
                  <c:v>1.7266977052346475</c:v>
                </c:pt>
                <c:pt idx="7">
                  <c:v>2.2670466204420832</c:v>
                </c:pt>
                <c:pt idx="8">
                  <c:v>2.8787898794325697</c:v>
                </c:pt>
                <c:pt idx="9">
                  <c:v>3.5354195558837476</c:v>
                </c:pt>
                <c:pt idx="10">
                  <c:v>4.2050639991704646</c:v>
                </c:pt>
                <c:pt idx="11">
                  <c:v>4.8580917717902254</c:v>
                </c:pt>
                <c:pt idx="12">
                  <c:v>5.4707098064637742</c:v>
                </c:pt>
                <c:pt idx="13">
                  <c:v>6.0275728458686597</c:v>
                </c:pt>
                <c:pt idx="14">
                  <c:v>6.5219282695289174</c:v>
                </c:pt>
                <c:pt idx="15">
                  <c:v>6.953943527296766</c:v>
                </c:pt>
                <c:pt idx="16">
                  <c:v>7.3268814378499743</c:v>
                </c:pt>
              </c:numCache>
            </c:numRef>
          </c:val>
          <c:extLst>
            <c:ext xmlns:c16="http://schemas.microsoft.com/office/drawing/2014/chart" uri="{C3380CC4-5D6E-409C-BE32-E72D297353CC}">
              <c16:uniqueId val="{00000003-E54C-CF4F-A38D-C49FBBB79438}"/>
            </c:ext>
          </c:extLst>
        </c:ser>
        <c:ser>
          <c:idx val="4"/>
          <c:order val="4"/>
          <c:tx>
            <c:strRef>
              <c:f>MINEX_IW_Pot!$C$31</c:f>
              <c:strCache>
                <c:ptCount val="1"/>
                <c:pt idx="0">
                  <c:v>SAARC</c:v>
                </c:pt>
              </c:strCache>
            </c:strRef>
          </c:tx>
          <c:spPr>
            <a:solidFill>
              <a:schemeClr val="accent5"/>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MINEX_IW_Pot!$AL$31:$BB$31</c:f>
              <c:numCache>
                <c:formatCode>General</c:formatCode>
                <c:ptCount val="17"/>
                <c:pt idx="0">
                  <c:v>0.71444852717997442</c:v>
                </c:pt>
                <c:pt idx="1">
                  <c:v>1.0918075494832946</c:v>
                </c:pt>
                <c:pt idx="2">
                  <c:v>1.5738976250464505</c:v>
                </c:pt>
                <c:pt idx="3">
                  <c:v>2.1546624745082803</c:v>
                </c:pt>
                <c:pt idx="4">
                  <c:v>2.8112267710868646</c:v>
                </c:pt>
                <c:pt idx="5">
                  <c:v>3.5095506731445947</c:v>
                </c:pt>
                <c:pt idx="6">
                  <c:v>4.2110420385242913</c:v>
                </c:pt>
                <c:pt idx="7">
                  <c:v>4.8637212206813363</c:v>
                </c:pt>
                <c:pt idx="8">
                  <c:v>5.444019320899451</c:v>
                </c:pt>
                <c:pt idx="9">
                  <c:v>5.926323567666663</c:v>
                </c:pt>
                <c:pt idx="10">
                  <c:v>6.2974963066590384</c:v>
                </c:pt>
                <c:pt idx="11">
                  <c:v>6.5591815810226946</c:v>
                </c:pt>
                <c:pt idx="12">
                  <c:v>6.7242201432982363</c:v>
                </c:pt>
                <c:pt idx="13">
                  <c:v>6.8090296274202613</c:v>
                </c:pt>
                <c:pt idx="14">
                  <c:v>6.8314445951290281</c:v>
                </c:pt>
                <c:pt idx="15">
                  <c:v>6.8050648023528089</c:v>
                </c:pt>
                <c:pt idx="16">
                  <c:v>6.7426726379446116</c:v>
                </c:pt>
              </c:numCache>
            </c:numRef>
          </c:val>
          <c:extLst>
            <c:ext xmlns:c16="http://schemas.microsoft.com/office/drawing/2014/chart" uri="{C3380CC4-5D6E-409C-BE32-E72D297353CC}">
              <c16:uniqueId val="{00000004-E54C-CF4F-A38D-C49FBBB79438}"/>
            </c:ext>
          </c:extLst>
        </c:ser>
        <c:ser>
          <c:idx val="5"/>
          <c:order val="5"/>
          <c:tx>
            <c:strRef>
              <c:f>MINEX_IW_Pot!$C$32</c:f>
              <c:strCache>
                <c:ptCount val="1"/>
                <c:pt idx="0">
                  <c:v>Northeast Asia</c:v>
                </c:pt>
              </c:strCache>
            </c:strRef>
          </c:tx>
          <c:spPr>
            <a:solidFill>
              <a:schemeClr val="accent6"/>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MINEX_IW_Pot!$AL$32:$BB$32</c:f>
              <c:numCache>
                <c:formatCode>General</c:formatCode>
                <c:ptCount val="17"/>
                <c:pt idx="0">
                  <c:v>6.2973580530402389</c:v>
                </c:pt>
                <c:pt idx="1">
                  <c:v>6.4617766901251157</c:v>
                </c:pt>
                <c:pt idx="2">
                  <c:v>6.586649457649786</c:v>
                </c:pt>
                <c:pt idx="3">
                  <c:v>6.6366636217196699</c:v>
                </c:pt>
                <c:pt idx="4">
                  <c:v>6.5784655285915479</c:v>
                </c:pt>
                <c:pt idx="5">
                  <c:v>6.3976928541291702</c:v>
                </c:pt>
                <c:pt idx="6">
                  <c:v>6.0957461598242251</c:v>
                </c:pt>
                <c:pt idx="7">
                  <c:v>6.2959039488723318</c:v>
                </c:pt>
                <c:pt idx="8">
                  <c:v>6.3888559834525172</c:v>
                </c:pt>
                <c:pt idx="9">
                  <c:v>6.4026116808613143</c:v>
                </c:pt>
                <c:pt idx="10">
                  <c:v>6.362214614807348</c:v>
                </c:pt>
                <c:pt idx="11">
                  <c:v>6.2841203543164319</c:v>
                </c:pt>
                <c:pt idx="12">
                  <c:v>6.1806477820060772</c:v>
                </c:pt>
                <c:pt idx="13">
                  <c:v>6.0637844444441322</c:v>
                </c:pt>
                <c:pt idx="14">
                  <c:v>5.9449505929008559</c:v>
                </c:pt>
                <c:pt idx="15">
                  <c:v>5.8294175531440278</c:v>
                </c:pt>
                <c:pt idx="16">
                  <c:v>5.7122756254239402</c:v>
                </c:pt>
              </c:numCache>
            </c:numRef>
          </c:val>
          <c:extLst>
            <c:ext xmlns:c16="http://schemas.microsoft.com/office/drawing/2014/chart" uri="{C3380CC4-5D6E-409C-BE32-E72D297353CC}">
              <c16:uniqueId val="{00000005-E54C-CF4F-A38D-C49FBBB79438}"/>
            </c:ext>
          </c:extLst>
        </c:ser>
        <c:ser>
          <c:idx val="6"/>
          <c:order val="6"/>
          <c:tx>
            <c:strRef>
              <c:f>MINEX_IW_Pot!$C$33</c:f>
              <c:strCache>
                <c:ptCount val="1"/>
                <c:pt idx="0">
                  <c:v>Southeast Asia</c:v>
                </c:pt>
              </c:strCache>
            </c:strRef>
          </c:tx>
          <c:spPr>
            <a:solidFill>
              <a:schemeClr val="accent1">
                <a:lumMod val="60000"/>
              </a:schemeClr>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MINEX_IW_Pot!$AL$33:$BB$33</c:f>
              <c:numCache>
                <c:formatCode>General</c:formatCode>
                <c:ptCount val="17"/>
                <c:pt idx="0">
                  <c:v>0.73557815490207445</c:v>
                </c:pt>
                <c:pt idx="1">
                  <c:v>0.86175939331020401</c:v>
                </c:pt>
                <c:pt idx="2">
                  <c:v>1.009826098691504</c:v>
                </c:pt>
                <c:pt idx="3">
                  <c:v>1.1750627145495698</c:v>
                </c:pt>
                <c:pt idx="4">
                  <c:v>1.3500685164408157</c:v>
                </c:pt>
                <c:pt idx="5">
                  <c:v>1.5257951288507838</c:v>
                </c:pt>
                <c:pt idx="6">
                  <c:v>1.6914999771690975</c:v>
                </c:pt>
                <c:pt idx="7">
                  <c:v>1.8822410482934346</c:v>
                </c:pt>
                <c:pt idx="8">
                  <c:v>2.0485141529847524</c:v>
                </c:pt>
                <c:pt idx="9">
                  <c:v>2.1866730712908669</c:v>
                </c:pt>
                <c:pt idx="10">
                  <c:v>2.2965572308975806</c:v>
                </c:pt>
                <c:pt idx="11">
                  <c:v>2.3806228101564542</c:v>
                </c:pt>
                <c:pt idx="12">
                  <c:v>2.4422667381323837</c:v>
                </c:pt>
                <c:pt idx="13">
                  <c:v>2.4846615203791398</c:v>
                </c:pt>
                <c:pt idx="14">
                  <c:v>2.5108886136433286</c:v>
                </c:pt>
                <c:pt idx="15">
                  <c:v>2.5237628974736652</c:v>
                </c:pt>
                <c:pt idx="16">
                  <c:v>2.525549325528766</c:v>
                </c:pt>
              </c:numCache>
            </c:numRef>
          </c:val>
          <c:extLst>
            <c:ext xmlns:c16="http://schemas.microsoft.com/office/drawing/2014/chart" uri="{C3380CC4-5D6E-409C-BE32-E72D297353CC}">
              <c16:uniqueId val="{00000006-E54C-CF4F-A38D-C49FBBB79438}"/>
            </c:ext>
          </c:extLst>
        </c:ser>
        <c:ser>
          <c:idx val="7"/>
          <c:order val="7"/>
          <c:tx>
            <c:strRef>
              <c:f>MINEX_IW_Pot!$C$34</c:f>
              <c:strCache>
                <c:ptCount val="1"/>
                <c:pt idx="0">
                  <c:v>North America</c:v>
                </c:pt>
              </c:strCache>
            </c:strRef>
          </c:tx>
          <c:spPr>
            <a:solidFill>
              <a:schemeClr val="accent2">
                <a:lumMod val="60000"/>
              </a:schemeClr>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MINEX_IW_Pot!$AL$34:$BB$34</c:f>
              <c:numCache>
                <c:formatCode>General</c:formatCode>
                <c:ptCount val="17"/>
                <c:pt idx="0">
                  <c:v>1.7324341731284729</c:v>
                </c:pt>
                <c:pt idx="1">
                  <c:v>1.7952646559044649</c:v>
                </c:pt>
                <c:pt idx="2">
                  <c:v>1.8434922327200738</c:v>
                </c:pt>
                <c:pt idx="3">
                  <c:v>1.8772320612187992</c:v>
                </c:pt>
                <c:pt idx="4">
                  <c:v>1.8933132931335248</c:v>
                </c:pt>
                <c:pt idx="5">
                  <c:v>1.893142995836534</c:v>
                </c:pt>
                <c:pt idx="6">
                  <c:v>1.8795210862051848</c:v>
                </c:pt>
                <c:pt idx="7">
                  <c:v>1.9403833413489726</c:v>
                </c:pt>
                <c:pt idx="8">
                  <c:v>1.9989014254517519</c:v>
                </c:pt>
                <c:pt idx="9">
                  <c:v>2.0556468071361054</c:v>
                </c:pt>
                <c:pt idx="10">
                  <c:v>2.1094774045285898</c:v>
                </c:pt>
                <c:pt idx="11">
                  <c:v>2.1586629252497449</c:v>
                </c:pt>
                <c:pt idx="12">
                  <c:v>2.2028104175134189</c:v>
                </c:pt>
                <c:pt idx="13">
                  <c:v>2.2429434939065103</c:v>
                </c:pt>
                <c:pt idx="14">
                  <c:v>2.2806735105675395</c:v>
                </c:pt>
                <c:pt idx="15">
                  <c:v>2.3178259893512965</c:v>
                </c:pt>
                <c:pt idx="16">
                  <c:v>2.3550210714340785</c:v>
                </c:pt>
              </c:numCache>
            </c:numRef>
          </c:val>
          <c:extLst>
            <c:ext xmlns:c16="http://schemas.microsoft.com/office/drawing/2014/chart" uri="{C3380CC4-5D6E-409C-BE32-E72D297353CC}">
              <c16:uniqueId val="{00000007-E54C-CF4F-A38D-C49FBBB79438}"/>
            </c:ext>
          </c:extLst>
        </c:ser>
        <c:ser>
          <c:idx val="8"/>
          <c:order val="8"/>
          <c:tx>
            <c:strRef>
              <c:f>MINEX_IW_Pot!$C$35</c:f>
              <c:strCache>
                <c:ptCount val="1"/>
                <c:pt idx="0">
                  <c:v>South America</c:v>
                </c:pt>
              </c:strCache>
            </c:strRef>
          </c:tx>
          <c:spPr>
            <a:solidFill>
              <a:schemeClr val="accent3">
                <a:lumMod val="60000"/>
              </a:schemeClr>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MINEX_IW_Pot!$AL$35:$BB$35</c:f>
              <c:numCache>
                <c:formatCode>General</c:formatCode>
                <c:ptCount val="17"/>
                <c:pt idx="0">
                  <c:v>0.62172403562284917</c:v>
                </c:pt>
                <c:pt idx="1">
                  <c:v>0.67962689303762225</c:v>
                </c:pt>
                <c:pt idx="2">
                  <c:v>0.74194651533874467</c:v>
                </c:pt>
                <c:pt idx="3">
                  <c:v>0.80760706509920432</c:v>
                </c:pt>
                <c:pt idx="4">
                  <c:v>0.87574655754085229</c:v>
                </c:pt>
                <c:pt idx="5">
                  <c:v>0.94218497608246476</c:v>
                </c:pt>
                <c:pt idx="6">
                  <c:v>1.0023300733724971</c:v>
                </c:pt>
                <c:pt idx="7">
                  <c:v>1.0953230022969169</c:v>
                </c:pt>
                <c:pt idx="8">
                  <c:v>1.1741188706784751</c:v>
                </c:pt>
                <c:pt idx="9">
                  <c:v>1.2362499821229109</c:v>
                </c:pt>
                <c:pt idx="10">
                  <c:v>1.2810247558416192</c:v>
                </c:pt>
                <c:pt idx="11">
                  <c:v>1.3094664925609294</c:v>
                </c:pt>
                <c:pt idx="12">
                  <c:v>1.3236490070317057</c:v>
                </c:pt>
                <c:pt idx="13">
                  <c:v>1.32656142151402</c:v>
                </c:pt>
                <c:pt idx="14">
                  <c:v>1.3208004311489043</c:v>
                </c:pt>
                <c:pt idx="15">
                  <c:v>1.3086079025210668</c:v>
                </c:pt>
                <c:pt idx="16">
                  <c:v>1.2918399567683918</c:v>
                </c:pt>
              </c:numCache>
            </c:numRef>
          </c:val>
          <c:extLst>
            <c:ext xmlns:c16="http://schemas.microsoft.com/office/drawing/2014/chart" uri="{C3380CC4-5D6E-409C-BE32-E72D297353CC}">
              <c16:uniqueId val="{00000008-E54C-CF4F-A38D-C49FBBB79438}"/>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red</a:t>
                </a:r>
                <a:r>
                  <a:rPr lang="en-US" sz="1400" b="1" baseline="0">
                    <a:solidFill>
                      <a:schemeClr val="tx1"/>
                    </a:solidFill>
                    <a:latin typeface="Arial" panose="020B0604020202020204" pitchFamily="34" charset="0"/>
                    <a:cs typeface="Arial" panose="020B0604020202020204" pitchFamily="34" charset="0"/>
                  </a:rPr>
                  <a:t> mud</a:t>
                </a:r>
                <a:r>
                  <a:rPr lang="en-US" sz="1400" b="1">
                    <a:solidFill>
                      <a:schemeClr val="tx1"/>
                    </a:solidFill>
                    <a:latin typeface="Arial" panose="020B0604020202020204" pitchFamily="34" charset="0"/>
                    <a:cs typeface="Arial" panose="020B0604020202020204" pitchFamily="34" charset="0"/>
                  </a:rPr>
                  <a:t> [MtCO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valAx>
      <c:spPr>
        <a:noFill/>
        <a:ln w="19050">
          <a:solidFill>
            <a:schemeClr val="tx1"/>
          </a:solidFill>
        </a:ln>
        <a:effectLst/>
      </c:spPr>
    </c:plotArea>
    <c:legend>
      <c:legendPos val="tr"/>
      <c:layout>
        <c:manualLayout>
          <c:xMode val="edge"/>
          <c:yMode val="edge"/>
          <c:x val="0.69245816993464049"/>
          <c:y val="3.8745145416327266E-2"/>
          <c:w val="0.25088765883649211"/>
          <c:h val="0.56842083333333338"/>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MINEX_IW_Pot!$E$17</c:f>
              <c:strCache>
                <c:ptCount val="1"/>
                <c:pt idx="0">
                  <c:v>Cement kiln dust</c:v>
                </c:pt>
              </c:strCache>
            </c:strRef>
          </c:tx>
          <c:spPr>
            <a:solidFill>
              <a:schemeClr val="accent1"/>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MINEX_IW_Pot!$D$36:$T$36</c:f>
              <c:numCache>
                <c:formatCode>General</c:formatCode>
                <c:ptCount val="17"/>
                <c:pt idx="0">
                  <c:v>163.67306328053343</c:v>
                </c:pt>
                <c:pt idx="1">
                  <c:v>179.03357453767444</c:v>
                </c:pt>
                <c:pt idx="2">
                  <c:v>189.05611461592977</c:v>
                </c:pt>
                <c:pt idx="3">
                  <c:v>193.67702555202249</c:v>
                </c:pt>
                <c:pt idx="4">
                  <c:v>192.66044224162053</c:v>
                </c:pt>
                <c:pt idx="5">
                  <c:v>186.21820565002542</c:v>
                </c:pt>
                <c:pt idx="6">
                  <c:v>175.4246061681693</c:v>
                </c:pt>
                <c:pt idx="7">
                  <c:v>164.10998440527834</c:v>
                </c:pt>
                <c:pt idx="8">
                  <c:v>151.91903879309902</c:v>
                </c:pt>
                <c:pt idx="9">
                  <c:v>140.12812925629984</c:v>
                </c:pt>
                <c:pt idx="10">
                  <c:v>129.5042884208369</c:v>
                </c:pt>
                <c:pt idx="11">
                  <c:v>120.52578965446607</c:v>
                </c:pt>
                <c:pt idx="12">
                  <c:v>113.41744572447334</c:v>
                </c:pt>
                <c:pt idx="13">
                  <c:v>108.10303385664764</c:v>
                </c:pt>
                <c:pt idx="14">
                  <c:v>104.29265580742093</c:v>
                </c:pt>
                <c:pt idx="15">
                  <c:v>101.59166762870827</c:v>
                </c:pt>
                <c:pt idx="16">
                  <c:v>99.631655982313688</c:v>
                </c:pt>
              </c:numCache>
            </c:numRef>
          </c:val>
          <c:extLst>
            <c:ext xmlns:c16="http://schemas.microsoft.com/office/drawing/2014/chart" uri="{C3380CC4-5D6E-409C-BE32-E72D297353CC}">
              <c16:uniqueId val="{00000000-968C-6E45-8399-1EE3B09078C3}"/>
            </c:ext>
          </c:extLst>
        </c:ser>
        <c:ser>
          <c:idx val="1"/>
          <c:order val="1"/>
          <c:tx>
            <c:strRef>
              <c:f>MINEX_IW_Pot!$V$17</c:f>
              <c:strCache>
                <c:ptCount val="1"/>
                <c:pt idx="0">
                  <c:v>Steel slag</c:v>
                </c:pt>
              </c:strCache>
            </c:strRef>
          </c:tx>
          <c:spPr>
            <a:solidFill>
              <a:schemeClr val="accent2"/>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MINEX_IW_Pot!$U$36:$AK$36</c:f>
              <c:numCache>
                <c:formatCode>General</c:formatCode>
                <c:ptCount val="17"/>
                <c:pt idx="0">
                  <c:v>193.07182631115069</c:v>
                </c:pt>
                <c:pt idx="1">
                  <c:v>252.78620091960155</c:v>
                </c:pt>
                <c:pt idx="2">
                  <c:v>303.6286694630877</c:v>
                </c:pt>
                <c:pt idx="3">
                  <c:v>337.69091154603797</c:v>
                </c:pt>
                <c:pt idx="4">
                  <c:v>363.03736494648757</c:v>
                </c:pt>
                <c:pt idx="5">
                  <c:v>378.47076492959008</c:v>
                </c:pt>
                <c:pt idx="6">
                  <c:v>367.23959875081795</c:v>
                </c:pt>
                <c:pt idx="7">
                  <c:v>329.20606259206448</c:v>
                </c:pt>
                <c:pt idx="8">
                  <c:v>289.51713137540622</c:v>
                </c:pt>
                <c:pt idx="9">
                  <c:v>268.60169558759935</c:v>
                </c:pt>
                <c:pt idx="10">
                  <c:v>265.26804435429318</c:v>
                </c:pt>
                <c:pt idx="11">
                  <c:v>267.57730501961203</c:v>
                </c:pt>
                <c:pt idx="12">
                  <c:v>267.31816296133843</c:v>
                </c:pt>
                <c:pt idx="13">
                  <c:v>264.61381809604188</c:v>
                </c:pt>
                <c:pt idx="14">
                  <c:v>262.77519916259251</c:v>
                </c:pt>
                <c:pt idx="15">
                  <c:v>262.74541149063566</c:v>
                </c:pt>
                <c:pt idx="16">
                  <c:v>263.11791541122017</c:v>
                </c:pt>
              </c:numCache>
            </c:numRef>
          </c:val>
          <c:extLst>
            <c:ext xmlns:c16="http://schemas.microsoft.com/office/drawing/2014/chart" uri="{C3380CC4-5D6E-409C-BE32-E72D297353CC}">
              <c16:uniqueId val="{00000001-968C-6E45-8399-1EE3B09078C3}"/>
            </c:ext>
          </c:extLst>
        </c:ser>
        <c:ser>
          <c:idx val="2"/>
          <c:order val="2"/>
          <c:tx>
            <c:strRef>
              <c:f>MINEX_IW_Pot!$AM$17</c:f>
              <c:strCache>
                <c:ptCount val="1"/>
                <c:pt idx="0">
                  <c:v>Red mud</c:v>
                </c:pt>
              </c:strCache>
            </c:strRef>
          </c:tx>
          <c:spPr>
            <a:solidFill>
              <a:schemeClr val="accent3"/>
            </a:solidFill>
            <a:ln w="25400">
              <a:noFill/>
            </a:ln>
            <a:effectLst/>
          </c:spPr>
          <c:cat>
            <c:numRef>
              <c:f>MINEX_IW_Pot!$AL$26:$BB$26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MINEX_IW_Pot!$AL$36:$BB$36</c:f>
              <c:numCache>
                <c:formatCode>General</c:formatCode>
                <c:ptCount val="17"/>
                <c:pt idx="0">
                  <c:v>13.88124980946092</c:v>
                </c:pt>
                <c:pt idx="1">
                  <c:v>14.893415797302007</c:v>
                </c:pt>
                <c:pt idx="2">
                  <c:v>16.012726401841139</c:v>
                </c:pt>
                <c:pt idx="3">
                  <c:v>17.20749591929366</c:v>
                </c:pt>
                <c:pt idx="4">
                  <c:v>18.43112478211836</c:v>
                </c:pt>
                <c:pt idx="5">
                  <c:v>19.63161873937819</c:v>
                </c:pt>
                <c:pt idx="6">
                  <c:v>20.754015534659942</c:v>
                </c:pt>
                <c:pt idx="7">
                  <c:v>22.73535174570894</c:v>
                </c:pt>
                <c:pt idx="8">
                  <c:v>24.531441016988296</c:v>
                </c:pt>
                <c:pt idx="9">
                  <c:v>26.112313927391</c:v>
                </c:pt>
                <c:pt idx="10">
                  <c:v>27.460230227332801</c:v>
                </c:pt>
                <c:pt idx="11">
                  <c:v>28.571392331835916</c:v>
                </c:pt>
                <c:pt idx="12">
                  <c:v>29.458155247061683</c:v>
                </c:pt>
                <c:pt idx="13">
                  <c:v>30.144711208692975</c:v>
                </c:pt>
                <c:pt idx="14">
                  <c:v>30.66181508975567</c:v>
                </c:pt>
                <c:pt idx="15">
                  <c:v>31.033627037262999</c:v>
                </c:pt>
                <c:pt idx="16">
                  <c:v>31.274592412389008</c:v>
                </c:pt>
              </c:numCache>
            </c:numRef>
          </c:val>
          <c:extLst>
            <c:ext xmlns:c16="http://schemas.microsoft.com/office/drawing/2014/chart" uri="{C3380CC4-5D6E-409C-BE32-E72D297353CC}">
              <c16:uniqueId val="{00000002-968C-6E45-8399-1EE3B09078C3}"/>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Global 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industrial solid waste [MtCO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valAx>
      <c:spPr>
        <a:noFill/>
        <a:ln w="19050">
          <a:solidFill>
            <a:schemeClr val="tx1"/>
          </a:solidFill>
        </a:ln>
        <a:effectLst/>
      </c:spPr>
    </c:plotArea>
    <c:legend>
      <c:legendPos val="r"/>
      <c:layout>
        <c:manualLayout>
          <c:xMode val="edge"/>
          <c:yMode val="edge"/>
          <c:x val="0.67116624614522002"/>
          <c:y val="4.0726157407407385E-2"/>
          <c:w val="0.27501352840312687"/>
          <c:h val="0.18947361111111108"/>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MINEX_IW_Pot!$C$72</c:f>
              <c:strCache>
                <c:ptCount val="1"/>
                <c:pt idx="0">
                  <c:v>Europe</c:v>
                </c:pt>
              </c:strCache>
            </c:strRef>
          </c:tx>
          <c:spPr>
            <a:solidFill>
              <a:srgbClr val="00FFCC"/>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MINEX_IW_Pot!$D$72:$T$72</c:f>
              <c:numCache>
                <c:formatCode>General</c:formatCode>
                <c:ptCount val="17"/>
                <c:pt idx="0">
                  <c:v>45.813463475245563</c:v>
                </c:pt>
                <c:pt idx="1">
                  <c:v>42.77036321998704</c:v>
                </c:pt>
                <c:pt idx="2">
                  <c:v>39.23260897014093</c:v>
                </c:pt>
                <c:pt idx="3">
                  <c:v>36.31668826327784</c:v>
                </c:pt>
                <c:pt idx="4">
                  <c:v>34.375900114342642</c:v>
                </c:pt>
                <c:pt idx="5">
                  <c:v>32.89450023184115</c:v>
                </c:pt>
                <c:pt idx="6">
                  <c:v>31.32326747139345</c:v>
                </c:pt>
                <c:pt idx="7">
                  <c:v>29.987478713393699</c:v>
                </c:pt>
                <c:pt idx="8">
                  <c:v>29.001615447724895</c:v>
                </c:pt>
                <c:pt idx="9">
                  <c:v>28.34229480158087</c:v>
                </c:pt>
                <c:pt idx="10">
                  <c:v>27.808115809600093</c:v>
                </c:pt>
                <c:pt idx="11">
                  <c:v>27.33862983156364</c:v>
                </c:pt>
                <c:pt idx="12">
                  <c:v>26.960804755981673</c:v>
                </c:pt>
                <c:pt idx="13">
                  <c:v>26.666516077423733</c:v>
                </c:pt>
                <c:pt idx="14">
                  <c:v>26.415360587387653</c:v>
                </c:pt>
                <c:pt idx="15">
                  <c:v>26.16825266351287</c:v>
                </c:pt>
                <c:pt idx="16">
                  <c:v>25.90369035016192</c:v>
                </c:pt>
              </c:numCache>
            </c:numRef>
          </c:val>
          <c:extLst>
            <c:ext xmlns:c16="http://schemas.microsoft.com/office/drawing/2014/chart" uri="{C3380CC4-5D6E-409C-BE32-E72D297353CC}">
              <c16:uniqueId val="{00000000-DF25-664F-90EE-4B75F87BC063}"/>
            </c:ext>
          </c:extLst>
        </c:ser>
        <c:ser>
          <c:idx val="1"/>
          <c:order val="1"/>
          <c:tx>
            <c:strRef>
              <c:f>MINEX_IW_Pot!$C$73</c:f>
              <c:strCache>
                <c:ptCount val="1"/>
                <c:pt idx="0">
                  <c:v>Eurasia</c:v>
                </c:pt>
              </c:strCache>
            </c:strRef>
          </c:tx>
          <c:spPr>
            <a:solidFill>
              <a:srgbClr val="CCFF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MINEX_IW_Pot!$D$73:$T$73</c:f>
              <c:numCache>
                <c:formatCode>General</c:formatCode>
                <c:ptCount val="17"/>
                <c:pt idx="0">
                  <c:v>19.674365536499668</c:v>
                </c:pt>
                <c:pt idx="1">
                  <c:v>19.53576158063257</c:v>
                </c:pt>
                <c:pt idx="2">
                  <c:v>17.962917790702871</c:v>
                </c:pt>
                <c:pt idx="3">
                  <c:v>15.954611740369677</c:v>
                </c:pt>
                <c:pt idx="4">
                  <c:v>14.421964604708181</c:v>
                </c:pt>
                <c:pt idx="5">
                  <c:v>13.354628553697093</c:v>
                </c:pt>
                <c:pt idx="6">
                  <c:v>12.300565187049589</c:v>
                </c:pt>
                <c:pt idx="7">
                  <c:v>11.515499169345205</c:v>
                </c:pt>
                <c:pt idx="8">
                  <c:v>11.052868217221212</c:v>
                </c:pt>
                <c:pt idx="9">
                  <c:v>10.808156953478209</c:v>
                </c:pt>
                <c:pt idx="10">
                  <c:v>10.591261203494296</c:v>
                </c:pt>
                <c:pt idx="11">
                  <c:v>10.417029223911674</c:v>
                </c:pt>
                <c:pt idx="12">
                  <c:v>10.340816718586639</c:v>
                </c:pt>
                <c:pt idx="13">
                  <c:v>10.339920884839252</c:v>
                </c:pt>
                <c:pt idx="14">
                  <c:v>10.357535784622346</c:v>
                </c:pt>
                <c:pt idx="15">
                  <c:v>10.350247539432024</c:v>
                </c:pt>
                <c:pt idx="16">
                  <c:v>10.302215332861591</c:v>
                </c:pt>
              </c:numCache>
            </c:numRef>
          </c:val>
          <c:extLst>
            <c:ext xmlns:c16="http://schemas.microsoft.com/office/drawing/2014/chart" uri="{C3380CC4-5D6E-409C-BE32-E72D297353CC}">
              <c16:uniqueId val="{00000001-DF25-664F-90EE-4B75F87BC063}"/>
            </c:ext>
          </c:extLst>
        </c:ser>
        <c:ser>
          <c:idx val="2"/>
          <c:order val="2"/>
          <c:tx>
            <c:strRef>
              <c:f>MINEX_IW_Pot!$C$74</c:f>
              <c:strCache>
                <c:ptCount val="1"/>
                <c:pt idx="0">
                  <c:v>MENA</c:v>
                </c:pt>
              </c:strCache>
            </c:strRef>
          </c:tx>
          <c:spPr>
            <a:solidFill>
              <a:srgbClr val="87A4B2"/>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MINEX_IW_Pot!$D$74:$T$74</c:f>
              <c:numCache>
                <c:formatCode>General</c:formatCode>
                <c:ptCount val="17"/>
                <c:pt idx="0">
                  <c:v>30.068457461397891</c:v>
                </c:pt>
                <c:pt idx="1">
                  <c:v>35.567822608446143</c:v>
                </c:pt>
                <c:pt idx="2">
                  <c:v>41.633276669500695</c:v>
                </c:pt>
                <c:pt idx="3">
                  <c:v>46.868700533845868</c:v>
                </c:pt>
                <c:pt idx="4">
                  <c:v>49.126434151616529</c:v>
                </c:pt>
                <c:pt idx="5">
                  <c:v>46.746459828043712</c:v>
                </c:pt>
                <c:pt idx="6">
                  <c:v>40.732118398608456</c:v>
                </c:pt>
                <c:pt idx="7">
                  <c:v>36.04937626632168</c:v>
                </c:pt>
                <c:pt idx="8">
                  <c:v>34.071951179163015</c:v>
                </c:pt>
                <c:pt idx="9">
                  <c:v>34.43376872305906</c:v>
                </c:pt>
                <c:pt idx="10">
                  <c:v>34.755154022216672</c:v>
                </c:pt>
                <c:pt idx="11">
                  <c:v>33.900848021748558</c:v>
                </c:pt>
                <c:pt idx="12">
                  <c:v>32.939778586132569</c:v>
                </c:pt>
                <c:pt idx="13">
                  <c:v>32.73280607634085</c:v>
                </c:pt>
                <c:pt idx="14">
                  <c:v>32.893685802174943</c:v>
                </c:pt>
                <c:pt idx="15">
                  <c:v>33.065792482429174</c:v>
                </c:pt>
                <c:pt idx="16">
                  <c:v>33.205406937853226</c:v>
                </c:pt>
              </c:numCache>
            </c:numRef>
          </c:val>
          <c:extLst>
            <c:ext xmlns:c16="http://schemas.microsoft.com/office/drawing/2014/chart" uri="{C3380CC4-5D6E-409C-BE32-E72D297353CC}">
              <c16:uniqueId val="{00000002-DF25-664F-90EE-4B75F87BC063}"/>
            </c:ext>
          </c:extLst>
        </c:ser>
        <c:ser>
          <c:idx val="3"/>
          <c:order val="3"/>
          <c:tx>
            <c:strRef>
              <c:f>MINEX_IW_Pot!$C$75</c:f>
              <c:strCache>
                <c:ptCount val="1"/>
                <c:pt idx="0">
                  <c:v>SSA</c:v>
                </c:pt>
              </c:strCache>
            </c:strRef>
          </c:tx>
          <c:spPr>
            <a:solidFill>
              <a:srgbClr val="FFCC99"/>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MINEX_IW_Pot!$D$75:$T$75</c:f>
              <c:numCache>
                <c:formatCode>General</c:formatCode>
                <c:ptCount val="17"/>
                <c:pt idx="0">
                  <c:v>13.401465708369591</c:v>
                </c:pt>
                <c:pt idx="1">
                  <c:v>21.964959507686835</c:v>
                </c:pt>
                <c:pt idx="2">
                  <c:v>34.411518632024524</c:v>
                </c:pt>
                <c:pt idx="3">
                  <c:v>51.236981735647383</c:v>
                </c:pt>
                <c:pt idx="4">
                  <c:v>71.909782480705971</c:v>
                </c:pt>
                <c:pt idx="5">
                  <c:v>93.613502464320518</c:v>
                </c:pt>
                <c:pt idx="6">
                  <c:v>110.1839296360441</c:v>
                </c:pt>
                <c:pt idx="7">
                  <c:v>115.28969250132721</c:v>
                </c:pt>
                <c:pt idx="8">
                  <c:v>109.44279641825263</c:v>
                </c:pt>
                <c:pt idx="9">
                  <c:v>99.613753556432556</c:v>
                </c:pt>
                <c:pt idx="10">
                  <c:v>93.424396804402704</c:v>
                </c:pt>
                <c:pt idx="11">
                  <c:v>92.950916021609586</c:v>
                </c:pt>
                <c:pt idx="12">
                  <c:v>94.057830853871693</c:v>
                </c:pt>
                <c:pt idx="13">
                  <c:v>93.954408525458277</c:v>
                </c:pt>
                <c:pt idx="14">
                  <c:v>94.064917209983435</c:v>
                </c:pt>
                <c:pt idx="15">
                  <c:v>95.636871893762446</c:v>
                </c:pt>
                <c:pt idx="16">
                  <c:v>98.040614556802097</c:v>
                </c:pt>
              </c:numCache>
            </c:numRef>
          </c:val>
          <c:extLst>
            <c:ext xmlns:c16="http://schemas.microsoft.com/office/drawing/2014/chart" uri="{C3380CC4-5D6E-409C-BE32-E72D297353CC}">
              <c16:uniqueId val="{00000003-DF25-664F-90EE-4B75F87BC063}"/>
            </c:ext>
          </c:extLst>
        </c:ser>
        <c:ser>
          <c:idx val="4"/>
          <c:order val="4"/>
          <c:tx>
            <c:strRef>
              <c:f>MINEX_IW_Pot!$C$76</c:f>
              <c:strCache>
                <c:ptCount val="1"/>
                <c:pt idx="0">
                  <c:v>SAARC</c:v>
                </c:pt>
              </c:strCache>
            </c:strRef>
          </c:tx>
          <c:spPr>
            <a:solidFill>
              <a:srgbClr val="FF0066"/>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MINEX_IW_Pot!$D$76:$T$76</c:f>
              <c:numCache>
                <c:formatCode>General</c:formatCode>
                <c:ptCount val="17"/>
                <c:pt idx="0">
                  <c:v>42.228327235141997</c:v>
                </c:pt>
                <c:pt idx="1">
                  <c:v>67.146618471450466</c:v>
                </c:pt>
                <c:pt idx="2">
                  <c:v>99.178463609899879</c:v>
                </c:pt>
                <c:pt idx="3">
                  <c:v>136.64297586122851</c:v>
                </c:pt>
                <c:pt idx="4">
                  <c:v>171.97408885802861</c:v>
                </c:pt>
                <c:pt idx="5">
                  <c:v>191.38736899244839</c:v>
                </c:pt>
                <c:pt idx="6">
                  <c:v>183.81733429266984</c:v>
                </c:pt>
                <c:pt idx="7">
                  <c:v>153.68075551485674</c:v>
                </c:pt>
                <c:pt idx="8">
                  <c:v>122.39163504690251</c:v>
                </c:pt>
                <c:pt idx="9">
                  <c:v>106.0733850784042</c:v>
                </c:pt>
                <c:pt idx="10">
                  <c:v>102.92764914314806</c:v>
                </c:pt>
                <c:pt idx="11">
                  <c:v>102.36889951142675</c:v>
                </c:pt>
                <c:pt idx="12">
                  <c:v>99.336577365280959</c:v>
                </c:pt>
                <c:pt idx="13">
                  <c:v>95.419683543990246</c:v>
                </c:pt>
                <c:pt idx="14">
                  <c:v>92.613341242540287</c:v>
                </c:pt>
                <c:pt idx="15">
                  <c:v>90.86406541219263</c:v>
                </c:pt>
                <c:pt idx="16">
                  <c:v>89.382195311414094</c:v>
                </c:pt>
              </c:numCache>
            </c:numRef>
          </c:val>
          <c:extLst>
            <c:ext xmlns:c16="http://schemas.microsoft.com/office/drawing/2014/chart" uri="{C3380CC4-5D6E-409C-BE32-E72D297353CC}">
              <c16:uniqueId val="{00000004-DF25-664F-90EE-4B75F87BC063}"/>
            </c:ext>
          </c:extLst>
        </c:ser>
        <c:ser>
          <c:idx val="5"/>
          <c:order val="5"/>
          <c:tx>
            <c:strRef>
              <c:f>MINEX_IW_Pot!$C$77</c:f>
              <c:strCache>
                <c:ptCount val="1"/>
                <c:pt idx="0">
                  <c:v>Northeast Asia</c:v>
                </c:pt>
              </c:strCache>
            </c:strRef>
          </c:tx>
          <c:spPr>
            <a:solidFill>
              <a:srgbClr val="34CC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MINEX_IW_Pot!$D$77:$T$77</c:f>
              <c:numCache>
                <c:formatCode>General</c:formatCode>
                <c:ptCount val="17"/>
                <c:pt idx="0">
                  <c:v>132.96790934446611</c:v>
                </c:pt>
                <c:pt idx="1">
                  <c:v>155.64731354054098</c:v>
                </c:pt>
                <c:pt idx="2">
                  <c:v>154.83994676412129</c:v>
                </c:pt>
                <c:pt idx="3">
                  <c:v>127.39320329421807</c:v>
                </c:pt>
                <c:pt idx="4">
                  <c:v>95.461264137661004</c:v>
                </c:pt>
                <c:pt idx="5">
                  <c:v>79.122263695511705</c:v>
                </c:pt>
                <c:pt idx="6">
                  <c:v>74.520250023301486</c:v>
                </c:pt>
                <c:pt idx="7">
                  <c:v>73.44430000999732</c:v>
                </c:pt>
                <c:pt idx="8">
                  <c:v>70.060811578844621</c:v>
                </c:pt>
                <c:pt idx="9">
                  <c:v>66.519351884237707</c:v>
                </c:pt>
                <c:pt idx="10">
                  <c:v>63.97701439558665</c:v>
                </c:pt>
                <c:pt idx="11">
                  <c:v>62.145761977211407</c:v>
                </c:pt>
                <c:pt idx="12">
                  <c:v>60.523298724158643</c:v>
                </c:pt>
                <c:pt idx="13">
                  <c:v>58.901498073079672</c:v>
                </c:pt>
                <c:pt idx="14">
                  <c:v>57.300653985388365</c:v>
                </c:pt>
                <c:pt idx="15">
                  <c:v>55.772154267641227</c:v>
                </c:pt>
                <c:pt idx="16">
                  <c:v>54.285488820342387</c:v>
                </c:pt>
              </c:numCache>
            </c:numRef>
          </c:val>
          <c:extLst>
            <c:ext xmlns:c16="http://schemas.microsoft.com/office/drawing/2014/chart" uri="{C3380CC4-5D6E-409C-BE32-E72D297353CC}">
              <c16:uniqueId val="{00000005-DF25-664F-90EE-4B75F87BC063}"/>
            </c:ext>
          </c:extLst>
        </c:ser>
        <c:ser>
          <c:idx val="6"/>
          <c:order val="6"/>
          <c:tx>
            <c:strRef>
              <c:f>MINEX_IW_Pot!$C$78</c:f>
              <c:strCache>
                <c:ptCount val="1"/>
                <c:pt idx="0">
                  <c:v>Southeast Asia</c:v>
                </c:pt>
              </c:strCache>
            </c:strRef>
          </c:tx>
          <c:spPr>
            <a:solidFill>
              <a:srgbClr val="66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MINEX_IW_Pot!$D$78:$T$78</c:f>
              <c:numCache>
                <c:formatCode>General</c:formatCode>
                <c:ptCount val="17"/>
                <c:pt idx="0">
                  <c:v>31.81343196963018</c:v>
                </c:pt>
                <c:pt idx="1">
                  <c:v>41.47308290118297</c:v>
                </c:pt>
                <c:pt idx="2">
                  <c:v>51.554640247234211</c:v>
                </c:pt>
                <c:pt idx="3">
                  <c:v>59.695981455436403</c:v>
                </c:pt>
                <c:pt idx="4">
                  <c:v>62.307332628015942</c:v>
                </c:pt>
                <c:pt idx="5">
                  <c:v>57.202239771398631</c:v>
                </c:pt>
                <c:pt idx="6">
                  <c:v>47.401407718707908</c:v>
                </c:pt>
                <c:pt idx="7">
                  <c:v>39.384849087247503</c:v>
                </c:pt>
                <c:pt idx="8">
                  <c:v>36.550351401284168</c:v>
                </c:pt>
                <c:pt idx="9">
                  <c:v>36.449369515203571</c:v>
                </c:pt>
                <c:pt idx="10">
                  <c:v>36.181007170941442</c:v>
                </c:pt>
                <c:pt idx="11">
                  <c:v>35.349413162924648</c:v>
                </c:pt>
                <c:pt idx="12">
                  <c:v>34.552031405719625</c:v>
                </c:pt>
                <c:pt idx="13">
                  <c:v>34.048709460556537</c:v>
                </c:pt>
                <c:pt idx="14">
                  <c:v>33.740290820589209</c:v>
                </c:pt>
                <c:pt idx="15">
                  <c:v>33.45696324971825</c:v>
                </c:pt>
                <c:pt idx="16">
                  <c:v>33.103049135444714</c:v>
                </c:pt>
              </c:numCache>
            </c:numRef>
          </c:val>
          <c:extLst>
            <c:ext xmlns:c16="http://schemas.microsoft.com/office/drawing/2014/chart" uri="{C3380CC4-5D6E-409C-BE32-E72D297353CC}">
              <c16:uniqueId val="{00000006-DF25-664F-90EE-4B75F87BC063}"/>
            </c:ext>
          </c:extLst>
        </c:ser>
        <c:ser>
          <c:idx val="7"/>
          <c:order val="7"/>
          <c:tx>
            <c:strRef>
              <c:f>MINEX_IW_Pot!$C$79</c:f>
              <c:strCache>
                <c:ptCount val="1"/>
                <c:pt idx="0">
                  <c:v>North America</c:v>
                </c:pt>
              </c:strCache>
            </c:strRef>
          </c:tx>
          <c:spPr>
            <a:solidFill>
              <a:srgbClr val="FF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MINEX_IW_Pot!$D$79:$T$79</c:f>
              <c:numCache>
                <c:formatCode>General</c:formatCode>
                <c:ptCount val="17"/>
                <c:pt idx="0">
                  <c:v>26.597465149176529</c:v>
                </c:pt>
                <c:pt idx="1">
                  <c:v>28.548359271064658</c:v>
                </c:pt>
                <c:pt idx="2">
                  <c:v>30.3775799728169</c:v>
                </c:pt>
                <c:pt idx="3">
                  <c:v>31.47878419376628</c:v>
                </c:pt>
                <c:pt idx="4">
                  <c:v>31.395180928487779</c:v>
                </c:pt>
                <c:pt idx="5">
                  <c:v>30.152885399977528</c:v>
                </c:pt>
                <c:pt idx="6">
                  <c:v>28.400804564992224</c:v>
                </c:pt>
                <c:pt idx="7">
                  <c:v>26.98442223880846</c:v>
                </c:pt>
                <c:pt idx="8">
                  <c:v>26.589918991667105</c:v>
                </c:pt>
                <c:pt idx="9">
                  <c:v>26.930674900087393</c:v>
                </c:pt>
                <c:pt idx="10">
                  <c:v>27.376759581820654</c:v>
                </c:pt>
                <c:pt idx="11">
                  <c:v>27.608046558290127</c:v>
                </c:pt>
                <c:pt idx="12">
                  <c:v>27.685897268668377</c:v>
                </c:pt>
                <c:pt idx="13">
                  <c:v>27.754397475926979</c:v>
                </c:pt>
                <c:pt idx="14">
                  <c:v>27.86853519743519</c:v>
                </c:pt>
                <c:pt idx="15">
                  <c:v>28.015163611285836</c:v>
                </c:pt>
                <c:pt idx="16">
                  <c:v>28.16468694500848</c:v>
                </c:pt>
              </c:numCache>
            </c:numRef>
          </c:val>
          <c:extLst>
            <c:ext xmlns:c16="http://schemas.microsoft.com/office/drawing/2014/chart" uri="{C3380CC4-5D6E-409C-BE32-E72D297353CC}">
              <c16:uniqueId val="{00000007-DF25-664F-90EE-4B75F87BC063}"/>
            </c:ext>
          </c:extLst>
        </c:ser>
        <c:ser>
          <c:idx val="8"/>
          <c:order val="8"/>
          <c:tx>
            <c:strRef>
              <c:f>MINEX_IW_Pot!$C$80</c:f>
              <c:strCache>
                <c:ptCount val="1"/>
                <c:pt idx="0">
                  <c:v>South America</c:v>
                </c:pt>
              </c:strCache>
            </c:strRef>
          </c:tx>
          <c:spPr>
            <a:solidFill>
              <a:srgbClr val="65CD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MINEX_IW_Pot!$D$80:$T$80</c:f>
              <c:numCache>
                <c:formatCode>General</c:formatCode>
                <c:ptCount val="17"/>
                <c:pt idx="0">
                  <c:v>28.061253521217541</c:v>
                </c:pt>
                <c:pt idx="1">
                  <c:v>34.058910153586325</c:v>
                </c:pt>
                <c:pt idx="2">
                  <c:v>39.506557824417357</c:v>
                </c:pt>
                <c:pt idx="3">
                  <c:v>42.987505939564087</c:v>
                </c:pt>
                <c:pt idx="4">
                  <c:v>43.156984066659874</c:v>
                </c:pt>
                <c:pt idx="5">
                  <c:v>39.846740381754969</c:v>
                </c:pt>
                <c:pt idx="6">
                  <c:v>34.738543160880184</c:v>
                </c:pt>
                <c:pt idx="7">
                  <c:v>29.71502524175397</c:v>
                </c:pt>
                <c:pt idx="8">
                  <c:v>26.805662904433362</c:v>
                </c:pt>
                <c:pt idx="9">
                  <c:v>25.67138335880659</c:v>
                </c:pt>
                <c:pt idx="10">
                  <c:v>25.191204871252328</c:v>
                </c:pt>
                <c:pt idx="11">
                  <c:v>24.594942697227637</c:v>
                </c:pt>
                <c:pt idx="12">
                  <c:v>23.796728254473244</c:v>
                </c:pt>
                <c:pt idx="13">
                  <c:v>23.043623043766971</c:v>
                </c:pt>
                <c:pt idx="14">
                  <c:v>22.475349429647675</c:v>
                </c:pt>
                <c:pt idx="15">
                  <c:v>22.041195036632462</c:v>
                </c:pt>
                <c:pt idx="16">
                  <c:v>21.636816416034375</c:v>
                </c:pt>
              </c:numCache>
            </c:numRef>
          </c:val>
          <c:extLst>
            <c:ext xmlns:c16="http://schemas.microsoft.com/office/drawing/2014/chart" uri="{C3380CC4-5D6E-409C-BE32-E72D297353CC}">
              <c16:uniqueId val="{00000008-DF25-664F-90EE-4B75F87BC063}"/>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Annual 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industrial</a:t>
                </a:r>
                <a:r>
                  <a:rPr lang="en-US" sz="1400" b="1" baseline="0">
                    <a:solidFill>
                      <a:schemeClr val="tx1"/>
                    </a:solidFill>
                    <a:latin typeface="Arial" panose="020B0604020202020204" pitchFamily="34" charset="0"/>
                    <a:cs typeface="Arial" panose="020B0604020202020204" pitchFamily="34" charset="0"/>
                  </a:rPr>
                  <a:t> solid waste</a:t>
                </a:r>
                <a:r>
                  <a:rPr lang="en-US" sz="1400" b="1">
                    <a:solidFill>
                      <a:schemeClr val="tx1"/>
                    </a:solidFill>
                    <a:latin typeface="Arial" panose="020B0604020202020204" pitchFamily="34" charset="0"/>
                    <a:cs typeface="Arial" panose="020B0604020202020204" pitchFamily="34" charset="0"/>
                  </a:rPr>
                  <a:t> </a:t>
                </a:r>
              </a:p>
              <a:p>
                <a:pPr>
                  <a:defRPr sz="1400" b="1">
                    <a:solidFill>
                      <a:schemeClr val="tx1"/>
                    </a:solidFill>
                    <a:latin typeface="Arial" panose="020B0604020202020204" pitchFamily="34" charset="0"/>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[MtCO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minorUnit val="50"/>
      </c:valAx>
      <c:spPr>
        <a:noFill/>
        <a:ln w="19050">
          <a:solidFill>
            <a:schemeClr val="tx1"/>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OverviewResults!$E$11</c:f>
              <c:strCache>
                <c:ptCount val="1"/>
                <c:pt idx="0">
                  <c:v>w/o Energy</c:v>
                </c:pt>
              </c:strCache>
            </c:strRef>
          </c:tx>
          <c:spPr>
            <a:solidFill>
              <a:schemeClr val="accent1"/>
            </a:solidFill>
            <a:ln>
              <a:noFill/>
            </a:ln>
            <a:effectLst/>
          </c:spPr>
          <c:invertIfNegative val="0"/>
          <c:cat>
            <c:multiLvlStrRef>
              <c:f>OverviewResults!$C$12:$D$29</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OverviewResults!$E$12:$E$29</c:f>
              <c:numCache>
                <c:formatCode>0.00</c:formatCode>
                <c:ptCount val="18"/>
                <c:pt idx="0">
                  <c:v>4.8997256522195336</c:v>
                </c:pt>
                <c:pt idx="1">
                  <c:v>12.738387229639974</c:v>
                </c:pt>
                <c:pt idx="2">
                  <c:v>40.773429350798999</c:v>
                </c:pt>
                <c:pt idx="3">
                  <c:v>40.773429350798999</c:v>
                </c:pt>
                <c:pt idx="4">
                  <c:v>25.789739164380308</c:v>
                </c:pt>
                <c:pt idx="5">
                  <c:v>87.716507403827947</c:v>
                </c:pt>
                <c:pt idx="6">
                  <c:v>4.6418453547342953</c:v>
                </c:pt>
                <c:pt idx="7">
                  <c:v>12.336122369756609</c:v>
                </c:pt>
                <c:pt idx="8">
                  <c:v>29.711038150940368</c:v>
                </c:pt>
                <c:pt idx="9">
                  <c:v>29.711038150940368</c:v>
                </c:pt>
                <c:pt idx="10">
                  <c:v>14.727347964521678</c:v>
                </c:pt>
                <c:pt idx="11">
                  <c:v>67.756429003827947</c:v>
                </c:pt>
                <c:pt idx="12">
                  <c:v>4.6418453547342953</c:v>
                </c:pt>
                <c:pt idx="13">
                  <c:v>12.336122369756609</c:v>
                </c:pt>
                <c:pt idx="14">
                  <c:v>28.002666728819705</c:v>
                </c:pt>
                <c:pt idx="15">
                  <c:v>28.002666728819705</c:v>
                </c:pt>
                <c:pt idx="16">
                  <c:v>13.018976542401012</c:v>
                </c:pt>
                <c:pt idx="17">
                  <c:v>65.629535403827958</c:v>
                </c:pt>
              </c:numCache>
            </c:numRef>
          </c:val>
          <c:extLst>
            <c:ext xmlns:c16="http://schemas.microsoft.com/office/drawing/2014/chart" uri="{C3380CC4-5D6E-409C-BE32-E72D297353CC}">
              <c16:uniqueId val="{00000000-8CA7-4D48-9B50-E08B516B6680}"/>
            </c:ext>
          </c:extLst>
        </c:ser>
        <c:ser>
          <c:idx val="1"/>
          <c:order val="1"/>
          <c:tx>
            <c:strRef>
              <c:f>OverviewResults!$F$11</c:f>
              <c:strCache>
                <c:ptCount val="1"/>
                <c:pt idx="0">
                  <c:v>Energy</c:v>
                </c:pt>
              </c:strCache>
            </c:strRef>
          </c:tx>
          <c:spPr>
            <a:solidFill>
              <a:schemeClr val="accent2"/>
            </a:solidFill>
            <a:ln>
              <a:noFill/>
            </a:ln>
            <a:effectLst/>
          </c:spPr>
          <c:invertIfNegative val="0"/>
          <c:cat>
            <c:multiLvlStrRef>
              <c:f>OverviewResults!$C$12:$D$29</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OverviewResults!$F$12:$F$29</c:f>
              <c:numCache>
                <c:formatCode>0.00</c:formatCode>
                <c:ptCount val="18"/>
                <c:pt idx="0">
                  <c:v>2.6291962249517482</c:v>
                </c:pt>
                <c:pt idx="1">
                  <c:v>2.7357119999999995</c:v>
                </c:pt>
                <c:pt idx="2">
                  <c:v>32.164198083562475</c:v>
                </c:pt>
                <c:pt idx="3">
                  <c:v>32.709600000000002</c:v>
                </c:pt>
                <c:pt idx="4">
                  <c:v>41.25869999999999</c:v>
                </c:pt>
                <c:pt idx="5">
                  <c:v>0</c:v>
                </c:pt>
                <c:pt idx="6">
                  <c:v>1.1559600000000003</c:v>
                </c:pt>
                <c:pt idx="7">
                  <c:v>1.1559600000000003</c:v>
                </c:pt>
                <c:pt idx="8">
                  <c:v>14.14009021559491</c:v>
                </c:pt>
                <c:pt idx="9">
                  <c:v>13.384799999999991</c:v>
                </c:pt>
                <c:pt idx="10">
                  <c:v>16.883099999999999</c:v>
                </c:pt>
                <c:pt idx="11">
                  <c:v>0</c:v>
                </c:pt>
                <c:pt idx="12">
                  <c:v>0.97811999999999966</c:v>
                </c:pt>
                <c:pt idx="13">
                  <c:v>0.97812000000000054</c:v>
                </c:pt>
                <c:pt idx="14">
                  <c:v>12.185357496700902</c:v>
                </c:pt>
                <c:pt idx="15">
                  <c:v>11.325600000000001</c:v>
                </c:pt>
                <c:pt idx="16">
                  <c:v>14.2857</c:v>
                </c:pt>
                <c:pt idx="17">
                  <c:v>0</c:v>
                </c:pt>
              </c:numCache>
            </c:numRef>
          </c:val>
          <c:extLst>
            <c:ext xmlns:c16="http://schemas.microsoft.com/office/drawing/2014/chart" uri="{C3380CC4-5D6E-409C-BE32-E72D297353CC}">
              <c16:uniqueId val="{00000001-8CA7-4D48-9B50-E08B516B6680}"/>
            </c:ext>
          </c:extLst>
        </c:ser>
        <c:ser>
          <c:idx val="2"/>
          <c:order val="2"/>
          <c:tx>
            <c:strRef>
              <c:f>OverviewResults!$G$11</c:f>
              <c:strCache>
                <c:ptCount val="1"/>
                <c:pt idx="0">
                  <c:v>DAC</c:v>
                </c:pt>
              </c:strCache>
            </c:strRef>
          </c:tx>
          <c:spPr>
            <a:solidFill>
              <a:schemeClr val="accent3"/>
            </a:solidFill>
            <a:ln>
              <a:noFill/>
            </a:ln>
            <a:effectLst/>
          </c:spPr>
          <c:invertIfNegative val="0"/>
          <c:cat>
            <c:multiLvlStrRef>
              <c:f>OverviewResults!$C$12:$D$29</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OverviewResults!$G$12:$G$29</c:f>
              <c:numCache>
                <c:formatCode>0.00</c:formatCode>
                <c:ptCount val="18"/>
                <c:pt idx="0">
                  <c:v>115.04279873558306</c:v>
                </c:pt>
                <c:pt idx="1">
                  <c:v>115.04279873558305</c:v>
                </c:pt>
                <c:pt idx="2">
                  <c:v>115.04279873558306</c:v>
                </c:pt>
                <c:pt idx="3">
                  <c:v>115.04279873558306</c:v>
                </c:pt>
                <c:pt idx="4">
                  <c:v>115.04279873558305</c:v>
                </c:pt>
                <c:pt idx="5">
                  <c:v>0</c:v>
                </c:pt>
                <c:pt idx="6">
                  <c:v>39.88244895760716</c:v>
                </c:pt>
                <c:pt idx="7">
                  <c:v>39.88244895760716</c:v>
                </c:pt>
                <c:pt idx="8">
                  <c:v>39.882448957607153</c:v>
                </c:pt>
                <c:pt idx="9">
                  <c:v>39.88244895760716</c:v>
                </c:pt>
                <c:pt idx="10">
                  <c:v>39.88244895760716</c:v>
                </c:pt>
                <c:pt idx="11">
                  <c:v>0</c:v>
                </c:pt>
                <c:pt idx="12">
                  <c:v>33.669636249639773</c:v>
                </c:pt>
                <c:pt idx="13">
                  <c:v>33.669636249639765</c:v>
                </c:pt>
                <c:pt idx="14">
                  <c:v>33.669636249639765</c:v>
                </c:pt>
                <c:pt idx="15">
                  <c:v>33.669636249639773</c:v>
                </c:pt>
                <c:pt idx="16">
                  <c:v>33.669636249639773</c:v>
                </c:pt>
                <c:pt idx="17">
                  <c:v>0</c:v>
                </c:pt>
              </c:numCache>
            </c:numRef>
          </c:val>
          <c:extLst>
            <c:ext xmlns:c16="http://schemas.microsoft.com/office/drawing/2014/chart" uri="{C3380CC4-5D6E-409C-BE32-E72D297353CC}">
              <c16:uniqueId val="{00000002-8CA7-4D48-9B50-E08B516B6680}"/>
            </c:ext>
          </c:extLst>
        </c:ser>
        <c:dLbls>
          <c:showLegendKey val="0"/>
          <c:showVal val="0"/>
          <c:showCatName val="0"/>
          <c:showSerName val="0"/>
          <c:showPercent val="0"/>
          <c:showBubbleSize val="0"/>
        </c:dLbls>
        <c:gapWidth val="150"/>
        <c:overlap val="100"/>
        <c:axId val="2130521248"/>
        <c:axId val="2130695328"/>
      </c:barChart>
      <c:catAx>
        <c:axId val="2130521248"/>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Narrow" panose="020B0604020202020204" pitchFamily="34" charset="0"/>
                <a:ea typeface="+mn-ea"/>
                <a:cs typeface="Arial Narrow" panose="020B0604020202020204" pitchFamily="34" charset="0"/>
              </a:defRPr>
            </a:pPr>
            <a:endParaRPr lang="en-US"/>
          </a:p>
        </c:txPr>
        <c:crossAx val="2130695328"/>
        <c:crosses val="autoZero"/>
        <c:auto val="1"/>
        <c:lblAlgn val="ctr"/>
        <c:lblOffset val="100"/>
        <c:noMultiLvlLbl val="0"/>
      </c:catAx>
      <c:valAx>
        <c:axId val="2130695328"/>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LCOCDR [€/tCO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0521248"/>
        <c:crosses val="autoZero"/>
        <c:crossBetween val="between"/>
        <c:majorUnit val="50"/>
        <c:minorUnit val="25"/>
      </c:valAx>
      <c:spPr>
        <a:noFill/>
        <a:ln w="19050">
          <a:solidFill>
            <a:schemeClr val="tx1"/>
          </a:solidFill>
        </a:ln>
        <a:effectLst/>
      </c:spPr>
    </c:plotArea>
    <c:legend>
      <c:legendPos val="t"/>
      <c:layout>
        <c:manualLayout>
          <c:xMode val="edge"/>
          <c:yMode val="edge"/>
          <c:x val="0.43622769359912772"/>
          <c:y val="6.3251346907431283E-2"/>
          <c:w val="0.48345639151990166"/>
          <c:h val="6.4708001473255963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MINEX_IW_Pot!$C$111</c:f>
              <c:strCache>
                <c:ptCount val="1"/>
                <c:pt idx="0">
                  <c:v>Europe</c:v>
                </c:pt>
              </c:strCache>
            </c:strRef>
          </c:tx>
          <c:spPr>
            <a:solidFill>
              <a:srgbClr val="02FFCD"/>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MINEX_IW_Pot!$D$111:$T$111</c:f>
              <c:numCache>
                <c:formatCode>General</c:formatCode>
                <c:ptCount val="17"/>
                <c:pt idx="0">
                  <c:v>0</c:v>
                </c:pt>
                <c:pt idx="1">
                  <c:v>0.22145956673808148</c:v>
                </c:pt>
                <c:pt idx="2">
                  <c:v>0.42646699721340137</c:v>
                </c:pt>
                <c:pt idx="3">
                  <c:v>0.61534024029694834</c:v>
                </c:pt>
                <c:pt idx="4">
                  <c:v>0.79207171124099951</c:v>
                </c:pt>
                <c:pt idx="5">
                  <c:v>0.96024771210645898</c:v>
                </c:pt>
                <c:pt idx="6">
                  <c:v>1.1207921313645455</c:v>
                </c:pt>
                <c:pt idx="7">
                  <c:v>1.2740689968265133</c:v>
                </c:pt>
                <c:pt idx="8">
                  <c:v>1.4215417322293098</c:v>
                </c:pt>
                <c:pt idx="9">
                  <c:v>1.5649015078525741</c:v>
                </c:pt>
                <c:pt idx="10">
                  <c:v>1.7052775343805264</c:v>
                </c:pt>
                <c:pt idx="11">
                  <c:v>1.8431443984834357</c:v>
                </c:pt>
                <c:pt idx="12">
                  <c:v>1.9788929849522989</c:v>
                </c:pt>
                <c:pt idx="13">
                  <c:v>2.1129612870358123</c:v>
                </c:pt>
                <c:pt idx="14">
                  <c:v>2.2456659786978408</c:v>
                </c:pt>
                <c:pt idx="15">
                  <c:v>2.3771250118250919</c:v>
                </c:pt>
                <c:pt idx="16">
                  <c:v>2.5073048693592788</c:v>
                </c:pt>
              </c:numCache>
            </c:numRef>
          </c:val>
          <c:extLst>
            <c:ext xmlns:c16="http://schemas.microsoft.com/office/drawing/2014/chart" uri="{C3380CC4-5D6E-409C-BE32-E72D297353CC}">
              <c16:uniqueId val="{00000000-4A47-AC41-9CD5-9631D5C26366}"/>
            </c:ext>
          </c:extLst>
        </c:ser>
        <c:ser>
          <c:idx val="1"/>
          <c:order val="1"/>
          <c:tx>
            <c:strRef>
              <c:f>MINEX_IW_Pot!$C$112</c:f>
              <c:strCache>
                <c:ptCount val="1"/>
                <c:pt idx="0">
                  <c:v>Eurasia</c:v>
                </c:pt>
              </c:strCache>
            </c:strRef>
          </c:tx>
          <c:spPr>
            <a:solidFill>
              <a:srgbClr val="CCFF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MINEX_IW_Pot!$D$112:$T$112</c:f>
              <c:numCache>
                <c:formatCode>General</c:formatCode>
                <c:ptCount val="17"/>
                <c:pt idx="0">
                  <c:v>0</c:v>
                </c:pt>
                <c:pt idx="1">
                  <c:v>9.8025317792830594E-2</c:v>
                </c:pt>
                <c:pt idx="2">
                  <c:v>0.19177201622116918</c:v>
                </c:pt>
                <c:pt idx="3">
                  <c:v>0.27656584004885054</c:v>
                </c:pt>
                <c:pt idx="4">
                  <c:v>0.35250728091154521</c:v>
                </c:pt>
                <c:pt idx="5">
                  <c:v>0.42194876380755841</c:v>
                </c:pt>
                <c:pt idx="6">
                  <c:v>0.4860867481594251</c:v>
                </c:pt>
                <c:pt idx="7">
                  <c:v>0.54562690905041211</c:v>
                </c:pt>
                <c:pt idx="8">
                  <c:v>0.60204782751682817</c:v>
                </c:pt>
                <c:pt idx="9">
                  <c:v>0.65670039044357675</c:v>
                </c:pt>
                <c:pt idx="10">
                  <c:v>0.71019893583600802</c:v>
                </c:pt>
                <c:pt idx="11">
                  <c:v>0.76271966190452289</c:v>
                </c:pt>
                <c:pt idx="12">
                  <c:v>0.8146142767607687</c:v>
                </c:pt>
                <c:pt idx="13">
                  <c:v>0.8663161207693334</c:v>
                </c:pt>
                <c:pt idx="14">
                  <c:v>0.91805976244298737</c:v>
                </c:pt>
                <c:pt idx="15">
                  <c:v>0.96982922075312328</c:v>
                </c:pt>
                <c:pt idx="16">
                  <c:v>1.0214603779338574</c:v>
                </c:pt>
              </c:numCache>
            </c:numRef>
          </c:val>
          <c:extLst>
            <c:ext xmlns:c16="http://schemas.microsoft.com/office/drawing/2014/chart" uri="{C3380CC4-5D6E-409C-BE32-E72D297353CC}">
              <c16:uniqueId val="{00000001-4A47-AC41-9CD5-9631D5C26366}"/>
            </c:ext>
          </c:extLst>
        </c:ser>
        <c:ser>
          <c:idx val="2"/>
          <c:order val="2"/>
          <c:tx>
            <c:strRef>
              <c:f>MINEX_IW_Pot!$C$113</c:f>
              <c:strCache>
                <c:ptCount val="1"/>
                <c:pt idx="0">
                  <c:v>MENA</c:v>
                </c:pt>
              </c:strCache>
            </c:strRef>
          </c:tx>
          <c:spPr>
            <a:solidFill>
              <a:srgbClr val="87A4B2"/>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MINEX_IW_Pot!$D$113:$T$113</c:f>
              <c:numCache>
                <c:formatCode>General</c:formatCode>
                <c:ptCount val="17"/>
                <c:pt idx="0">
                  <c:v>0</c:v>
                </c:pt>
                <c:pt idx="1">
                  <c:v>0.16409070017461008</c:v>
                </c:pt>
                <c:pt idx="2">
                  <c:v>0.35709344836947715</c:v>
                </c:pt>
                <c:pt idx="3">
                  <c:v>0.57834839137784355</c:v>
                </c:pt>
                <c:pt idx="4">
                  <c:v>0.81833622809149953</c:v>
                </c:pt>
                <c:pt idx="5">
                  <c:v>1.0580184630406502</c:v>
                </c:pt>
                <c:pt idx="6">
                  <c:v>1.2767149086072807</c:v>
                </c:pt>
                <c:pt idx="7">
                  <c:v>1.4686686452696061</c:v>
                </c:pt>
                <c:pt idx="8">
                  <c:v>1.6439719638833177</c:v>
                </c:pt>
                <c:pt idx="9">
                  <c:v>1.8152362636388728</c:v>
                </c:pt>
                <c:pt idx="10">
                  <c:v>1.9882085705020622</c:v>
                </c:pt>
                <c:pt idx="11">
                  <c:v>2.1598485756119752</c:v>
                </c:pt>
                <c:pt idx="12">
                  <c:v>2.3269501421316781</c:v>
                </c:pt>
                <c:pt idx="13">
                  <c:v>2.4911316037878617</c:v>
                </c:pt>
                <c:pt idx="14">
                  <c:v>2.6551978334841513</c:v>
                </c:pt>
                <c:pt idx="15">
                  <c:v>2.8200965291956615</c:v>
                </c:pt>
                <c:pt idx="16">
                  <c:v>2.9857745277463676</c:v>
                </c:pt>
              </c:numCache>
            </c:numRef>
          </c:val>
          <c:extLst>
            <c:ext xmlns:c16="http://schemas.microsoft.com/office/drawing/2014/chart" uri="{C3380CC4-5D6E-409C-BE32-E72D297353CC}">
              <c16:uniqueId val="{00000002-4A47-AC41-9CD5-9631D5C26366}"/>
            </c:ext>
          </c:extLst>
        </c:ser>
        <c:ser>
          <c:idx val="3"/>
          <c:order val="3"/>
          <c:tx>
            <c:strRef>
              <c:f>MINEX_IW_Pot!$C$114</c:f>
              <c:strCache>
                <c:ptCount val="1"/>
                <c:pt idx="0">
                  <c:v>SSA</c:v>
                </c:pt>
              </c:strCache>
            </c:strRef>
          </c:tx>
          <c:spPr>
            <a:solidFill>
              <a:srgbClr val="FFCC99"/>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MINEX_IW_Pot!$D$114:$T$114</c:f>
              <c:numCache>
                <c:formatCode>General</c:formatCode>
                <c:ptCount val="17"/>
                <c:pt idx="0">
                  <c:v>0</c:v>
                </c:pt>
                <c:pt idx="1">
                  <c:v>8.8416063040141074E-2</c:v>
                </c:pt>
                <c:pt idx="2">
                  <c:v>0.22935725838941945</c:v>
                </c:pt>
                <c:pt idx="3">
                  <c:v>0.44347850930859922</c:v>
                </c:pt>
                <c:pt idx="4">
                  <c:v>0.75134541984948267</c:v>
                </c:pt>
                <c:pt idx="5">
                  <c:v>1.1651536322120488</c:v>
                </c:pt>
                <c:pt idx="6">
                  <c:v>1.6746472124629603</c:v>
                </c:pt>
                <c:pt idx="7">
                  <c:v>2.2383312678063887</c:v>
                </c:pt>
                <c:pt idx="8">
                  <c:v>2.8001624901053384</c:v>
                </c:pt>
                <c:pt idx="9">
                  <c:v>3.3228038650420513</c:v>
                </c:pt>
                <c:pt idx="10">
                  <c:v>3.8053992409441393</c:v>
                </c:pt>
                <c:pt idx="11">
                  <c:v>4.2713375230091701</c:v>
                </c:pt>
                <c:pt idx="12">
                  <c:v>4.7388593901978737</c:v>
                </c:pt>
                <c:pt idx="13">
                  <c:v>5.2088899886461988</c:v>
                </c:pt>
                <c:pt idx="14">
                  <c:v>5.6789383029848031</c:v>
                </c:pt>
                <c:pt idx="15">
                  <c:v>6.1531927757441682</c:v>
                </c:pt>
                <c:pt idx="16">
                  <c:v>6.6373864918705792</c:v>
                </c:pt>
              </c:numCache>
            </c:numRef>
          </c:val>
          <c:extLst>
            <c:ext xmlns:c16="http://schemas.microsoft.com/office/drawing/2014/chart" uri="{C3380CC4-5D6E-409C-BE32-E72D297353CC}">
              <c16:uniqueId val="{00000003-4A47-AC41-9CD5-9631D5C26366}"/>
            </c:ext>
          </c:extLst>
        </c:ser>
        <c:ser>
          <c:idx val="4"/>
          <c:order val="4"/>
          <c:tx>
            <c:strRef>
              <c:f>MINEX_IW_Pot!$C$115</c:f>
              <c:strCache>
                <c:ptCount val="1"/>
                <c:pt idx="0">
                  <c:v>SAARC</c:v>
                </c:pt>
              </c:strCache>
            </c:strRef>
          </c:tx>
          <c:spPr>
            <a:solidFill>
              <a:srgbClr val="FF0066"/>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MINEX_IW_Pot!$D$115:$T$115</c:f>
              <c:numCache>
                <c:formatCode>General</c:formatCode>
                <c:ptCount val="17"/>
                <c:pt idx="0">
                  <c:v>0</c:v>
                </c:pt>
                <c:pt idx="1">
                  <c:v>0.27343736426648113</c:v>
                </c:pt>
                <c:pt idx="2">
                  <c:v>0.6892500694698569</c:v>
                </c:pt>
                <c:pt idx="3">
                  <c:v>1.2788036681476778</c:v>
                </c:pt>
                <c:pt idx="4">
                  <c:v>2.0503463299458202</c:v>
                </c:pt>
                <c:pt idx="5">
                  <c:v>2.9587499745720125</c:v>
                </c:pt>
                <c:pt idx="6">
                  <c:v>3.8967617327848081</c:v>
                </c:pt>
                <c:pt idx="7">
                  <c:v>4.7405069573036247</c:v>
                </c:pt>
                <c:pt idx="8">
                  <c:v>5.4306879337080227</c:v>
                </c:pt>
                <c:pt idx="9">
                  <c:v>6.0018504840212898</c:v>
                </c:pt>
                <c:pt idx="10">
                  <c:v>6.5243530695751701</c:v>
                </c:pt>
                <c:pt idx="11">
                  <c:v>7.0375944412116072</c:v>
                </c:pt>
                <c:pt idx="12">
                  <c:v>7.5418581334033767</c:v>
                </c:pt>
                <c:pt idx="13">
                  <c:v>8.0287487856765551</c:v>
                </c:pt>
                <c:pt idx="14">
                  <c:v>8.4988313476428807</c:v>
                </c:pt>
                <c:pt idx="15">
                  <c:v>8.9575248642797138</c:v>
                </c:pt>
                <c:pt idx="16">
                  <c:v>9.4081405160887304</c:v>
                </c:pt>
              </c:numCache>
            </c:numRef>
          </c:val>
          <c:extLst>
            <c:ext xmlns:c16="http://schemas.microsoft.com/office/drawing/2014/chart" uri="{C3380CC4-5D6E-409C-BE32-E72D297353CC}">
              <c16:uniqueId val="{00000004-4A47-AC41-9CD5-9631D5C26366}"/>
            </c:ext>
          </c:extLst>
        </c:ser>
        <c:ser>
          <c:idx val="5"/>
          <c:order val="5"/>
          <c:tx>
            <c:strRef>
              <c:f>MINEX_IW_Pot!$C$116</c:f>
              <c:strCache>
                <c:ptCount val="1"/>
                <c:pt idx="0">
                  <c:v>Northeast Asia</c:v>
                </c:pt>
              </c:strCache>
            </c:strRef>
          </c:tx>
          <c:spPr>
            <a:solidFill>
              <a:srgbClr val="34CC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MINEX_IW_Pot!$D$116:$T$116</c:f>
              <c:numCache>
                <c:formatCode>General</c:formatCode>
                <c:ptCount val="17"/>
                <c:pt idx="0">
                  <c:v>0</c:v>
                </c:pt>
                <c:pt idx="1">
                  <c:v>0.72153805721251774</c:v>
                </c:pt>
                <c:pt idx="2">
                  <c:v>1.4977562079741735</c:v>
                </c:pt>
                <c:pt idx="3">
                  <c:v>2.2033390831200217</c:v>
                </c:pt>
                <c:pt idx="4">
                  <c:v>2.7604752516997193</c:v>
                </c:pt>
                <c:pt idx="5">
                  <c:v>3.1969340712826511</c:v>
                </c:pt>
                <c:pt idx="6">
                  <c:v>3.5810403555796841</c:v>
                </c:pt>
                <c:pt idx="7">
                  <c:v>3.9509517306629309</c:v>
                </c:pt>
                <c:pt idx="8">
                  <c:v>4.309714509635036</c:v>
                </c:pt>
                <c:pt idx="9">
                  <c:v>4.6511649182927419</c:v>
                </c:pt>
                <c:pt idx="10">
                  <c:v>4.9774058339923029</c:v>
                </c:pt>
                <c:pt idx="11">
                  <c:v>5.2927127749242979</c:v>
                </c:pt>
                <c:pt idx="12">
                  <c:v>5.5993854266777232</c:v>
                </c:pt>
                <c:pt idx="13">
                  <c:v>5.8979474186708192</c:v>
                </c:pt>
                <c:pt idx="14">
                  <c:v>6.1884527988169893</c:v>
                </c:pt>
                <c:pt idx="15">
                  <c:v>6.4711348194495635</c:v>
                </c:pt>
                <c:pt idx="16">
                  <c:v>6.7462789271695227</c:v>
                </c:pt>
              </c:numCache>
            </c:numRef>
          </c:val>
          <c:extLst>
            <c:ext xmlns:c16="http://schemas.microsoft.com/office/drawing/2014/chart" uri="{C3380CC4-5D6E-409C-BE32-E72D297353CC}">
              <c16:uniqueId val="{00000005-4A47-AC41-9CD5-9631D5C26366}"/>
            </c:ext>
          </c:extLst>
        </c:ser>
        <c:ser>
          <c:idx val="6"/>
          <c:order val="6"/>
          <c:tx>
            <c:strRef>
              <c:f>MINEX_IW_Pot!$C$117</c:f>
              <c:strCache>
                <c:ptCount val="1"/>
                <c:pt idx="0">
                  <c:v>Southeast Asia</c:v>
                </c:pt>
              </c:strCache>
            </c:strRef>
          </c:tx>
          <c:spPr>
            <a:solidFill>
              <a:srgbClr val="66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MINEX_IW_Pot!$D$117:$T$117</c:f>
              <c:numCache>
                <c:formatCode>General</c:formatCode>
                <c:ptCount val="17"/>
                <c:pt idx="0">
                  <c:v>0</c:v>
                </c:pt>
                <c:pt idx="1">
                  <c:v>0.18321628717703289</c:v>
                </c:pt>
                <c:pt idx="2">
                  <c:v>0.41578559504807588</c:v>
                </c:pt>
                <c:pt idx="3">
                  <c:v>0.69391214930475242</c:v>
                </c:pt>
                <c:pt idx="4">
                  <c:v>0.9989204345133833</c:v>
                </c:pt>
                <c:pt idx="5">
                  <c:v>1.2976943655119197</c:v>
                </c:pt>
                <c:pt idx="6">
                  <c:v>1.559203484237186</c:v>
                </c:pt>
                <c:pt idx="7">
                  <c:v>1.7761691262520745</c:v>
                </c:pt>
                <c:pt idx="8">
                  <c:v>1.9660071274734037</c:v>
                </c:pt>
                <c:pt idx="9">
                  <c:v>2.1485064297646232</c:v>
                </c:pt>
                <c:pt idx="10">
                  <c:v>2.3300823714799859</c:v>
                </c:pt>
                <c:pt idx="11">
                  <c:v>2.5089084223146512</c:v>
                </c:pt>
                <c:pt idx="12">
                  <c:v>2.6836620337362618</c:v>
                </c:pt>
                <c:pt idx="13">
                  <c:v>2.8551638859019524</c:v>
                </c:pt>
                <c:pt idx="14">
                  <c:v>3.0246363866048167</c:v>
                </c:pt>
                <c:pt idx="15">
                  <c:v>3.1926295217805851</c:v>
                </c:pt>
                <c:pt idx="16">
                  <c:v>3.3590295527434924</c:v>
                </c:pt>
              </c:numCache>
            </c:numRef>
          </c:val>
          <c:extLst>
            <c:ext xmlns:c16="http://schemas.microsoft.com/office/drawing/2014/chart" uri="{C3380CC4-5D6E-409C-BE32-E72D297353CC}">
              <c16:uniqueId val="{00000006-4A47-AC41-9CD5-9631D5C26366}"/>
            </c:ext>
          </c:extLst>
        </c:ser>
        <c:ser>
          <c:idx val="7"/>
          <c:order val="7"/>
          <c:tx>
            <c:strRef>
              <c:f>MINEX_IW_Pot!$C$118</c:f>
              <c:strCache>
                <c:ptCount val="1"/>
                <c:pt idx="0">
                  <c:v>North America</c:v>
                </c:pt>
              </c:strCache>
            </c:strRef>
          </c:tx>
          <c:spPr>
            <a:solidFill>
              <a:srgbClr val="FF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MINEX_IW_Pot!$D$118:$T$118</c:f>
              <c:numCache>
                <c:formatCode>General</c:formatCode>
                <c:ptCount val="17"/>
                <c:pt idx="0">
                  <c:v>0</c:v>
                </c:pt>
                <c:pt idx="1">
                  <c:v>0.13786456105060296</c:v>
                </c:pt>
                <c:pt idx="2">
                  <c:v>0.28517940916030682</c:v>
                </c:pt>
                <c:pt idx="3">
                  <c:v>0.43982031957676471</c:v>
                </c:pt>
                <c:pt idx="4">
                  <c:v>0.59700523238239989</c:v>
                </c:pt>
                <c:pt idx="5">
                  <c:v>0.75087539820356319</c:v>
                </c:pt>
                <c:pt idx="6">
                  <c:v>0.8972596231159875</c:v>
                </c:pt>
                <c:pt idx="7">
                  <c:v>1.0357226901254892</c:v>
                </c:pt>
                <c:pt idx="8">
                  <c:v>1.1696585432016782</c:v>
                </c:pt>
                <c:pt idx="9">
                  <c:v>1.3034600279310644</c:v>
                </c:pt>
                <c:pt idx="10">
                  <c:v>1.4392286141358346</c:v>
                </c:pt>
                <c:pt idx="11">
                  <c:v>1.5766906294861116</c:v>
                </c:pt>
                <c:pt idx="12">
                  <c:v>1.7149254890535079</c:v>
                </c:pt>
                <c:pt idx="13">
                  <c:v>1.8535262259149963</c:v>
                </c:pt>
                <c:pt idx="14">
                  <c:v>1.9925835575984017</c:v>
                </c:pt>
                <c:pt idx="15">
                  <c:v>2.1322928046202043</c:v>
                </c:pt>
                <c:pt idx="16">
                  <c:v>2.2727424310109399</c:v>
                </c:pt>
              </c:numCache>
            </c:numRef>
          </c:val>
          <c:extLst>
            <c:ext xmlns:c16="http://schemas.microsoft.com/office/drawing/2014/chart" uri="{C3380CC4-5D6E-409C-BE32-E72D297353CC}">
              <c16:uniqueId val="{00000007-4A47-AC41-9CD5-9631D5C26366}"/>
            </c:ext>
          </c:extLst>
        </c:ser>
        <c:ser>
          <c:idx val="8"/>
          <c:order val="8"/>
          <c:tx>
            <c:strRef>
              <c:f>MINEX_IW_Pot!$C$119</c:f>
              <c:strCache>
                <c:ptCount val="1"/>
                <c:pt idx="0">
                  <c:v>South America</c:v>
                </c:pt>
              </c:strCache>
            </c:strRef>
          </c:tx>
          <c:spPr>
            <a:solidFill>
              <a:srgbClr val="65CD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MINEX_IW_Pot!$D$119:$T$119</c:f>
              <c:numCache>
                <c:formatCode>General</c:formatCode>
                <c:ptCount val="17"/>
                <c:pt idx="0">
                  <c:v>0</c:v>
                </c:pt>
                <c:pt idx="1">
                  <c:v>0.15530040918700966</c:v>
                </c:pt>
                <c:pt idx="2">
                  <c:v>0.33921407913201884</c:v>
                </c:pt>
                <c:pt idx="3">
                  <c:v>0.54544923854197247</c:v>
                </c:pt>
                <c:pt idx="4">
                  <c:v>0.76081046355753235</c:v>
                </c:pt>
                <c:pt idx="5">
                  <c:v>0.96831977467856944</c:v>
                </c:pt>
                <c:pt idx="6">
                  <c:v>1.1547829835351573</c:v>
                </c:pt>
                <c:pt idx="7">
                  <c:v>1.3159169045417427</c:v>
                </c:pt>
                <c:pt idx="8">
                  <c:v>1.457218624907211</c:v>
                </c:pt>
                <c:pt idx="9">
                  <c:v>1.5884112405653108</c:v>
                </c:pt>
                <c:pt idx="10">
                  <c:v>1.7155677111404581</c:v>
                </c:pt>
                <c:pt idx="11">
                  <c:v>1.840033080061658</c:v>
                </c:pt>
                <c:pt idx="12">
                  <c:v>1.9610122574409101</c:v>
                </c:pt>
                <c:pt idx="13">
                  <c:v>2.0781131356865106</c:v>
                </c:pt>
                <c:pt idx="14">
                  <c:v>2.1919105668700474</c:v>
                </c:pt>
                <c:pt idx="15">
                  <c:v>2.3032019280357479</c:v>
                </c:pt>
                <c:pt idx="16">
                  <c:v>2.4123969566674148</c:v>
                </c:pt>
              </c:numCache>
            </c:numRef>
          </c:val>
          <c:extLst>
            <c:ext xmlns:c16="http://schemas.microsoft.com/office/drawing/2014/chart" uri="{C3380CC4-5D6E-409C-BE32-E72D297353CC}">
              <c16:uniqueId val="{00000008-4A47-AC41-9CD5-9631D5C26366}"/>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Cumulative 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 mineralisation potential using industrial</a:t>
                </a:r>
                <a:r>
                  <a:rPr lang="en-US" sz="1400" b="1" baseline="0">
                    <a:solidFill>
                      <a:schemeClr val="tx1"/>
                    </a:solidFill>
                    <a:latin typeface="Arial" panose="020B0604020202020204" pitchFamily="34" charset="0"/>
                    <a:cs typeface="Arial" panose="020B0604020202020204" pitchFamily="34" charset="0"/>
                  </a:rPr>
                  <a:t> solid waste</a:t>
                </a:r>
                <a:r>
                  <a:rPr lang="en-US" sz="1400" b="1">
                    <a:solidFill>
                      <a:schemeClr val="tx1"/>
                    </a:solidFill>
                    <a:latin typeface="Arial" panose="020B0604020202020204" pitchFamily="34" charset="0"/>
                    <a:cs typeface="Arial" panose="020B0604020202020204" pitchFamily="34" charset="0"/>
                  </a:rPr>
                  <a:t> [GtCO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minorUnit val="2.5"/>
      </c:valAx>
      <c:spPr>
        <a:noFill/>
        <a:ln w="19050">
          <a:solidFill>
            <a:schemeClr val="tx1"/>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48127181200016E-2"/>
          <c:y val="3.8515483525283077E-2"/>
          <c:w val="0.31096659980224395"/>
          <c:h val="0.73319473177292604"/>
        </c:manualLayout>
      </c:layout>
      <c:areaChart>
        <c:grouping val="stacked"/>
        <c:varyColors val="0"/>
        <c:ser>
          <c:idx val="0"/>
          <c:order val="0"/>
          <c:tx>
            <c:strRef>
              <c:f>MINEX_IW_Pot!$C$111</c:f>
              <c:strCache>
                <c:ptCount val="1"/>
                <c:pt idx="0">
                  <c:v>Europe</c:v>
                </c:pt>
              </c:strCache>
            </c:strRef>
          </c:tx>
          <c:spPr>
            <a:solidFill>
              <a:srgbClr val="02FFCD"/>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MINEX_IW_Pot!$D$111:$T$111</c:f>
              <c:numCache>
                <c:formatCode>General</c:formatCode>
                <c:ptCount val="17"/>
                <c:pt idx="0">
                  <c:v>0</c:v>
                </c:pt>
                <c:pt idx="1">
                  <c:v>0.22145956673808148</c:v>
                </c:pt>
                <c:pt idx="2">
                  <c:v>0.42646699721340137</c:v>
                </c:pt>
                <c:pt idx="3">
                  <c:v>0.61534024029694834</c:v>
                </c:pt>
                <c:pt idx="4">
                  <c:v>0.79207171124099951</c:v>
                </c:pt>
                <c:pt idx="5">
                  <c:v>0.96024771210645898</c:v>
                </c:pt>
                <c:pt idx="6">
                  <c:v>1.1207921313645455</c:v>
                </c:pt>
                <c:pt idx="7">
                  <c:v>1.2740689968265133</c:v>
                </c:pt>
                <c:pt idx="8">
                  <c:v>1.4215417322293098</c:v>
                </c:pt>
                <c:pt idx="9">
                  <c:v>1.5649015078525741</c:v>
                </c:pt>
                <c:pt idx="10">
                  <c:v>1.7052775343805264</c:v>
                </c:pt>
                <c:pt idx="11">
                  <c:v>1.8431443984834357</c:v>
                </c:pt>
                <c:pt idx="12">
                  <c:v>1.9788929849522989</c:v>
                </c:pt>
                <c:pt idx="13">
                  <c:v>2.1129612870358123</c:v>
                </c:pt>
                <c:pt idx="14">
                  <c:v>2.2456659786978408</c:v>
                </c:pt>
                <c:pt idx="15">
                  <c:v>2.3771250118250919</c:v>
                </c:pt>
                <c:pt idx="16">
                  <c:v>2.5073048693592788</c:v>
                </c:pt>
              </c:numCache>
            </c:numRef>
          </c:val>
          <c:extLst>
            <c:ext xmlns:c16="http://schemas.microsoft.com/office/drawing/2014/chart" uri="{C3380CC4-5D6E-409C-BE32-E72D297353CC}">
              <c16:uniqueId val="{00000000-5C8F-DD46-AC35-839867C2CBF6}"/>
            </c:ext>
          </c:extLst>
        </c:ser>
        <c:ser>
          <c:idx val="1"/>
          <c:order val="1"/>
          <c:tx>
            <c:strRef>
              <c:f>MINEX_IW_Pot!$C$112</c:f>
              <c:strCache>
                <c:ptCount val="1"/>
                <c:pt idx="0">
                  <c:v>Eurasia</c:v>
                </c:pt>
              </c:strCache>
            </c:strRef>
          </c:tx>
          <c:spPr>
            <a:solidFill>
              <a:srgbClr val="CCFF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MINEX_IW_Pot!$D$112:$T$112</c:f>
              <c:numCache>
                <c:formatCode>General</c:formatCode>
                <c:ptCount val="17"/>
                <c:pt idx="0">
                  <c:v>0</c:v>
                </c:pt>
                <c:pt idx="1">
                  <c:v>9.8025317792830594E-2</c:v>
                </c:pt>
                <c:pt idx="2">
                  <c:v>0.19177201622116918</c:v>
                </c:pt>
                <c:pt idx="3">
                  <c:v>0.27656584004885054</c:v>
                </c:pt>
                <c:pt idx="4">
                  <c:v>0.35250728091154521</c:v>
                </c:pt>
                <c:pt idx="5">
                  <c:v>0.42194876380755841</c:v>
                </c:pt>
                <c:pt idx="6">
                  <c:v>0.4860867481594251</c:v>
                </c:pt>
                <c:pt idx="7">
                  <c:v>0.54562690905041211</c:v>
                </c:pt>
                <c:pt idx="8">
                  <c:v>0.60204782751682817</c:v>
                </c:pt>
                <c:pt idx="9">
                  <c:v>0.65670039044357675</c:v>
                </c:pt>
                <c:pt idx="10">
                  <c:v>0.71019893583600802</c:v>
                </c:pt>
                <c:pt idx="11">
                  <c:v>0.76271966190452289</c:v>
                </c:pt>
                <c:pt idx="12">
                  <c:v>0.8146142767607687</c:v>
                </c:pt>
                <c:pt idx="13">
                  <c:v>0.8663161207693334</c:v>
                </c:pt>
                <c:pt idx="14">
                  <c:v>0.91805976244298737</c:v>
                </c:pt>
                <c:pt idx="15">
                  <c:v>0.96982922075312328</c:v>
                </c:pt>
                <c:pt idx="16">
                  <c:v>1.0214603779338574</c:v>
                </c:pt>
              </c:numCache>
            </c:numRef>
          </c:val>
          <c:extLst>
            <c:ext xmlns:c16="http://schemas.microsoft.com/office/drawing/2014/chart" uri="{C3380CC4-5D6E-409C-BE32-E72D297353CC}">
              <c16:uniqueId val="{00000001-5C8F-DD46-AC35-839867C2CBF6}"/>
            </c:ext>
          </c:extLst>
        </c:ser>
        <c:ser>
          <c:idx val="2"/>
          <c:order val="2"/>
          <c:tx>
            <c:strRef>
              <c:f>MINEX_IW_Pot!$C$113</c:f>
              <c:strCache>
                <c:ptCount val="1"/>
                <c:pt idx="0">
                  <c:v>MENA</c:v>
                </c:pt>
              </c:strCache>
            </c:strRef>
          </c:tx>
          <c:spPr>
            <a:solidFill>
              <a:srgbClr val="87A4B2"/>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MINEX_IW_Pot!$D$113:$T$113</c:f>
              <c:numCache>
                <c:formatCode>General</c:formatCode>
                <c:ptCount val="17"/>
                <c:pt idx="0">
                  <c:v>0</c:v>
                </c:pt>
                <c:pt idx="1">
                  <c:v>0.16409070017461008</c:v>
                </c:pt>
                <c:pt idx="2">
                  <c:v>0.35709344836947715</c:v>
                </c:pt>
                <c:pt idx="3">
                  <c:v>0.57834839137784355</c:v>
                </c:pt>
                <c:pt idx="4">
                  <c:v>0.81833622809149953</c:v>
                </c:pt>
                <c:pt idx="5">
                  <c:v>1.0580184630406502</c:v>
                </c:pt>
                <c:pt idx="6">
                  <c:v>1.2767149086072807</c:v>
                </c:pt>
                <c:pt idx="7">
                  <c:v>1.4686686452696061</c:v>
                </c:pt>
                <c:pt idx="8">
                  <c:v>1.6439719638833177</c:v>
                </c:pt>
                <c:pt idx="9">
                  <c:v>1.8152362636388728</c:v>
                </c:pt>
                <c:pt idx="10">
                  <c:v>1.9882085705020622</c:v>
                </c:pt>
                <c:pt idx="11">
                  <c:v>2.1598485756119752</c:v>
                </c:pt>
                <c:pt idx="12">
                  <c:v>2.3269501421316781</c:v>
                </c:pt>
                <c:pt idx="13">
                  <c:v>2.4911316037878617</c:v>
                </c:pt>
                <c:pt idx="14">
                  <c:v>2.6551978334841513</c:v>
                </c:pt>
                <c:pt idx="15">
                  <c:v>2.8200965291956615</c:v>
                </c:pt>
                <c:pt idx="16">
                  <c:v>2.9857745277463676</c:v>
                </c:pt>
              </c:numCache>
            </c:numRef>
          </c:val>
          <c:extLst>
            <c:ext xmlns:c16="http://schemas.microsoft.com/office/drawing/2014/chart" uri="{C3380CC4-5D6E-409C-BE32-E72D297353CC}">
              <c16:uniqueId val="{00000002-5C8F-DD46-AC35-839867C2CBF6}"/>
            </c:ext>
          </c:extLst>
        </c:ser>
        <c:ser>
          <c:idx val="3"/>
          <c:order val="3"/>
          <c:tx>
            <c:strRef>
              <c:f>MINEX_IW_Pot!$C$114</c:f>
              <c:strCache>
                <c:ptCount val="1"/>
                <c:pt idx="0">
                  <c:v>SSA</c:v>
                </c:pt>
              </c:strCache>
            </c:strRef>
          </c:tx>
          <c:spPr>
            <a:solidFill>
              <a:srgbClr val="FFCC99"/>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MINEX_IW_Pot!$D$114:$T$114</c:f>
              <c:numCache>
                <c:formatCode>General</c:formatCode>
                <c:ptCount val="17"/>
                <c:pt idx="0">
                  <c:v>0</c:v>
                </c:pt>
                <c:pt idx="1">
                  <c:v>8.8416063040141074E-2</c:v>
                </c:pt>
                <c:pt idx="2">
                  <c:v>0.22935725838941945</c:v>
                </c:pt>
                <c:pt idx="3">
                  <c:v>0.44347850930859922</c:v>
                </c:pt>
                <c:pt idx="4">
                  <c:v>0.75134541984948267</c:v>
                </c:pt>
                <c:pt idx="5">
                  <c:v>1.1651536322120488</c:v>
                </c:pt>
                <c:pt idx="6">
                  <c:v>1.6746472124629603</c:v>
                </c:pt>
                <c:pt idx="7">
                  <c:v>2.2383312678063887</c:v>
                </c:pt>
                <c:pt idx="8">
                  <c:v>2.8001624901053384</c:v>
                </c:pt>
                <c:pt idx="9">
                  <c:v>3.3228038650420513</c:v>
                </c:pt>
                <c:pt idx="10">
                  <c:v>3.8053992409441393</c:v>
                </c:pt>
                <c:pt idx="11">
                  <c:v>4.2713375230091701</c:v>
                </c:pt>
                <c:pt idx="12">
                  <c:v>4.7388593901978737</c:v>
                </c:pt>
                <c:pt idx="13">
                  <c:v>5.2088899886461988</c:v>
                </c:pt>
                <c:pt idx="14">
                  <c:v>5.6789383029848031</c:v>
                </c:pt>
                <c:pt idx="15">
                  <c:v>6.1531927757441682</c:v>
                </c:pt>
                <c:pt idx="16">
                  <c:v>6.6373864918705792</c:v>
                </c:pt>
              </c:numCache>
            </c:numRef>
          </c:val>
          <c:extLst>
            <c:ext xmlns:c16="http://schemas.microsoft.com/office/drawing/2014/chart" uri="{C3380CC4-5D6E-409C-BE32-E72D297353CC}">
              <c16:uniqueId val="{00000003-5C8F-DD46-AC35-839867C2CBF6}"/>
            </c:ext>
          </c:extLst>
        </c:ser>
        <c:ser>
          <c:idx val="4"/>
          <c:order val="4"/>
          <c:tx>
            <c:strRef>
              <c:f>MINEX_IW_Pot!$C$115</c:f>
              <c:strCache>
                <c:ptCount val="1"/>
                <c:pt idx="0">
                  <c:v>SAARC</c:v>
                </c:pt>
              </c:strCache>
            </c:strRef>
          </c:tx>
          <c:spPr>
            <a:solidFill>
              <a:srgbClr val="FF0066"/>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MINEX_IW_Pot!$D$115:$T$115</c:f>
              <c:numCache>
                <c:formatCode>General</c:formatCode>
                <c:ptCount val="17"/>
                <c:pt idx="0">
                  <c:v>0</c:v>
                </c:pt>
                <c:pt idx="1">
                  <c:v>0.27343736426648113</c:v>
                </c:pt>
                <c:pt idx="2">
                  <c:v>0.6892500694698569</c:v>
                </c:pt>
                <c:pt idx="3">
                  <c:v>1.2788036681476778</c:v>
                </c:pt>
                <c:pt idx="4">
                  <c:v>2.0503463299458202</c:v>
                </c:pt>
                <c:pt idx="5">
                  <c:v>2.9587499745720125</c:v>
                </c:pt>
                <c:pt idx="6">
                  <c:v>3.8967617327848081</c:v>
                </c:pt>
                <c:pt idx="7">
                  <c:v>4.7405069573036247</c:v>
                </c:pt>
                <c:pt idx="8">
                  <c:v>5.4306879337080227</c:v>
                </c:pt>
                <c:pt idx="9">
                  <c:v>6.0018504840212898</c:v>
                </c:pt>
                <c:pt idx="10">
                  <c:v>6.5243530695751701</c:v>
                </c:pt>
                <c:pt idx="11">
                  <c:v>7.0375944412116072</c:v>
                </c:pt>
                <c:pt idx="12">
                  <c:v>7.5418581334033767</c:v>
                </c:pt>
                <c:pt idx="13">
                  <c:v>8.0287487856765551</c:v>
                </c:pt>
                <c:pt idx="14">
                  <c:v>8.4988313476428807</c:v>
                </c:pt>
                <c:pt idx="15">
                  <c:v>8.9575248642797138</c:v>
                </c:pt>
                <c:pt idx="16">
                  <c:v>9.4081405160887304</c:v>
                </c:pt>
              </c:numCache>
            </c:numRef>
          </c:val>
          <c:extLst>
            <c:ext xmlns:c16="http://schemas.microsoft.com/office/drawing/2014/chart" uri="{C3380CC4-5D6E-409C-BE32-E72D297353CC}">
              <c16:uniqueId val="{00000004-5C8F-DD46-AC35-839867C2CBF6}"/>
            </c:ext>
          </c:extLst>
        </c:ser>
        <c:ser>
          <c:idx val="5"/>
          <c:order val="5"/>
          <c:tx>
            <c:strRef>
              <c:f>MINEX_IW_Pot!$C$116</c:f>
              <c:strCache>
                <c:ptCount val="1"/>
                <c:pt idx="0">
                  <c:v>Northeast Asia</c:v>
                </c:pt>
              </c:strCache>
            </c:strRef>
          </c:tx>
          <c:spPr>
            <a:solidFill>
              <a:srgbClr val="34CC33"/>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MINEX_IW_Pot!$D$116:$T$116</c:f>
              <c:numCache>
                <c:formatCode>General</c:formatCode>
                <c:ptCount val="17"/>
                <c:pt idx="0">
                  <c:v>0</c:v>
                </c:pt>
                <c:pt idx="1">
                  <c:v>0.72153805721251774</c:v>
                </c:pt>
                <c:pt idx="2">
                  <c:v>1.4977562079741735</c:v>
                </c:pt>
                <c:pt idx="3">
                  <c:v>2.2033390831200217</c:v>
                </c:pt>
                <c:pt idx="4">
                  <c:v>2.7604752516997193</c:v>
                </c:pt>
                <c:pt idx="5">
                  <c:v>3.1969340712826511</c:v>
                </c:pt>
                <c:pt idx="6">
                  <c:v>3.5810403555796841</c:v>
                </c:pt>
                <c:pt idx="7">
                  <c:v>3.9509517306629309</c:v>
                </c:pt>
                <c:pt idx="8">
                  <c:v>4.309714509635036</c:v>
                </c:pt>
                <c:pt idx="9">
                  <c:v>4.6511649182927419</c:v>
                </c:pt>
                <c:pt idx="10">
                  <c:v>4.9774058339923029</c:v>
                </c:pt>
                <c:pt idx="11">
                  <c:v>5.2927127749242979</c:v>
                </c:pt>
                <c:pt idx="12">
                  <c:v>5.5993854266777232</c:v>
                </c:pt>
                <c:pt idx="13">
                  <c:v>5.8979474186708192</c:v>
                </c:pt>
                <c:pt idx="14">
                  <c:v>6.1884527988169893</c:v>
                </c:pt>
                <c:pt idx="15">
                  <c:v>6.4711348194495635</c:v>
                </c:pt>
                <c:pt idx="16">
                  <c:v>6.7462789271695227</c:v>
                </c:pt>
              </c:numCache>
            </c:numRef>
          </c:val>
          <c:extLst>
            <c:ext xmlns:c16="http://schemas.microsoft.com/office/drawing/2014/chart" uri="{C3380CC4-5D6E-409C-BE32-E72D297353CC}">
              <c16:uniqueId val="{00000005-5C8F-DD46-AC35-839867C2CBF6}"/>
            </c:ext>
          </c:extLst>
        </c:ser>
        <c:ser>
          <c:idx val="6"/>
          <c:order val="6"/>
          <c:tx>
            <c:strRef>
              <c:f>MINEX_IW_Pot!$C$117</c:f>
              <c:strCache>
                <c:ptCount val="1"/>
                <c:pt idx="0">
                  <c:v>Southeast Asia</c:v>
                </c:pt>
              </c:strCache>
            </c:strRef>
          </c:tx>
          <c:spPr>
            <a:solidFill>
              <a:srgbClr val="66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MINEX_IW_Pot!$D$117:$T$117</c:f>
              <c:numCache>
                <c:formatCode>General</c:formatCode>
                <c:ptCount val="17"/>
                <c:pt idx="0">
                  <c:v>0</c:v>
                </c:pt>
                <c:pt idx="1">
                  <c:v>0.18321628717703289</c:v>
                </c:pt>
                <c:pt idx="2">
                  <c:v>0.41578559504807588</c:v>
                </c:pt>
                <c:pt idx="3">
                  <c:v>0.69391214930475242</c:v>
                </c:pt>
                <c:pt idx="4">
                  <c:v>0.9989204345133833</c:v>
                </c:pt>
                <c:pt idx="5">
                  <c:v>1.2976943655119197</c:v>
                </c:pt>
                <c:pt idx="6">
                  <c:v>1.559203484237186</c:v>
                </c:pt>
                <c:pt idx="7">
                  <c:v>1.7761691262520745</c:v>
                </c:pt>
                <c:pt idx="8">
                  <c:v>1.9660071274734037</c:v>
                </c:pt>
                <c:pt idx="9">
                  <c:v>2.1485064297646232</c:v>
                </c:pt>
                <c:pt idx="10">
                  <c:v>2.3300823714799859</c:v>
                </c:pt>
                <c:pt idx="11">
                  <c:v>2.5089084223146512</c:v>
                </c:pt>
                <c:pt idx="12">
                  <c:v>2.6836620337362618</c:v>
                </c:pt>
                <c:pt idx="13">
                  <c:v>2.8551638859019524</c:v>
                </c:pt>
                <c:pt idx="14">
                  <c:v>3.0246363866048167</c:v>
                </c:pt>
                <c:pt idx="15">
                  <c:v>3.1926295217805851</c:v>
                </c:pt>
                <c:pt idx="16">
                  <c:v>3.3590295527434924</c:v>
                </c:pt>
              </c:numCache>
            </c:numRef>
          </c:val>
          <c:extLst>
            <c:ext xmlns:c16="http://schemas.microsoft.com/office/drawing/2014/chart" uri="{C3380CC4-5D6E-409C-BE32-E72D297353CC}">
              <c16:uniqueId val="{00000006-5C8F-DD46-AC35-839867C2CBF6}"/>
            </c:ext>
          </c:extLst>
        </c:ser>
        <c:ser>
          <c:idx val="7"/>
          <c:order val="7"/>
          <c:tx>
            <c:strRef>
              <c:f>MINEX_IW_Pot!$C$118</c:f>
              <c:strCache>
                <c:ptCount val="1"/>
                <c:pt idx="0">
                  <c:v>North America</c:v>
                </c:pt>
              </c:strCache>
            </c:strRef>
          </c:tx>
          <c:spPr>
            <a:solidFill>
              <a:srgbClr val="FF66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MINEX_IW_Pot!$D$118:$T$118</c:f>
              <c:numCache>
                <c:formatCode>General</c:formatCode>
                <c:ptCount val="17"/>
                <c:pt idx="0">
                  <c:v>0</c:v>
                </c:pt>
                <c:pt idx="1">
                  <c:v>0.13786456105060296</c:v>
                </c:pt>
                <c:pt idx="2">
                  <c:v>0.28517940916030682</c:v>
                </c:pt>
                <c:pt idx="3">
                  <c:v>0.43982031957676471</c:v>
                </c:pt>
                <c:pt idx="4">
                  <c:v>0.59700523238239989</c:v>
                </c:pt>
                <c:pt idx="5">
                  <c:v>0.75087539820356319</c:v>
                </c:pt>
                <c:pt idx="6">
                  <c:v>0.8972596231159875</c:v>
                </c:pt>
                <c:pt idx="7">
                  <c:v>1.0357226901254892</c:v>
                </c:pt>
                <c:pt idx="8">
                  <c:v>1.1696585432016782</c:v>
                </c:pt>
                <c:pt idx="9">
                  <c:v>1.3034600279310644</c:v>
                </c:pt>
                <c:pt idx="10">
                  <c:v>1.4392286141358346</c:v>
                </c:pt>
                <c:pt idx="11">
                  <c:v>1.5766906294861116</c:v>
                </c:pt>
                <c:pt idx="12">
                  <c:v>1.7149254890535079</c:v>
                </c:pt>
                <c:pt idx="13">
                  <c:v>1.8535262259149963</c:v>
                </c:pt>
                <c:pt idx="14">
                  <c:v>1.9925835575984017</c:v>
                </c:pt>
                <c:pt idx="15">
                  <c:v>2.1322928046202043</c:v>
                </c:pt>
                <c:pt idx="16">
                  <c:v>2.2727424310109399</c:v>
                </c:pt>
              </c:numCache>
            </c:numRef>
          </c:val>
          <c:extLst>
            <c:ext xmlns:c16="http://schemas.microsoft.com/office/drawing/2014/chart" uri="{C3380CC4-5D6E-409C-BE32-E72D297353CC}">
              <c16:uniqueId val="{00000007-5C8F-DD46-AC35-839867C2CBF6}"/>
            </c:ext>
          </c:extLst>
        </c:ser>
        <c:ser>
          <c:idx val="8"/>
          <c:order val="8"/>
          <c:tx>
            <c:strRef>
              <c:f>MINEX_IW_Pot!$C$119</c:f>
              <c:strCache>
                <c:ptCount val="1"/>
                <c:pt idx="0">
                  <c:v>South America</c:v>
                </c:pt>
              </c:strCache>
            </c:strRef>
          </c:tx>
          <c:spPr>
            <a:solidFill>
              <a:srgbClr val="65CDFF"/>
            </a:solidFill>
            <a:ln w="25400">
              <a:noFill/>
            </a:ln>
            <a:effectLst/>
          </c:spPr>
          <c:cat>
            <c:numRef>
              <c:f>MINEX_IW_Pot!$D$26:$T$26</c:f>
              <c:numCache>
                <c:formatCode>General</c:formatCode>
                <c:ptCount val="17"/>
                <c:pt idx="0">
                  <c:v>2020</c:v>
                </c:pt>
                <c:pt idx="1">
                  <c:v>2025</c:v>
                </c:pt>
                <c:pt idx="2">
                  <c:v>2030</c:v>
                </c:pt>
                <c:pt idx="3">
                  <c:v>2035</c:v>
                </c:pt>
                <c:pt idx="4">
                  <c:v>2040</c:v>
                </c:pt>
                <c:pt idx="5">
                  <c:v>2045</c:v>
                </c:pt>
                <c:pt idx="6">
                  <c:v>2050</c:v>
                </c:pt>
                <c:pt idx="7">
                  <c:v>2055</c:v>
                </c:pt>
                <c:pt idx="8">
                  <c:v>2060</c:v>
                </c:pt>
                <c:pt idx="9">
                  <c:v>2065</c:v>
                </c:pt>
                <c:pt idx="10">
                  <c:v>2070</c:v>
                </c:pt>
                <c:pt idx="11">
                  <c:v>2075</c:v>
                </c:pt>
                <c:pt idx="12">
                  <c:v>2080</c:v>
                </c:pt>
                <c:pt idx="13">
                  <c:v>2085</c:v>
                </c:pt>
                <c:pt idx="14">
                  <c:v>2090</c:v>
                </c:pt>
                <c:pt idx="15">
                  <c:v>2095</c:v>
                </c:pt>
                <c:pt idx="16">
                  <c:v>2100</c:v>
                </c:pt>
              </c:numCache>
            </c:numRef>
          </c:cat>
          <c:val>
            <c:numRef>
              <c:f>MINEX_IW_Pot!$D$119:$T$119</c:f>
              <c:numCache>
                <c:formatCode>General</c:formatCode>
                <c:ptCount val="17"/>
                <c:pt idx="0">
                  <c:v>0</c:v>
                </c:pt>
                <c:pt idx="1">
                  <c:v>0.15530040918700966</c:v>
                </c:pt>
                <c:pt idx="2">
                  <c:v>0.33921407913201884</c:v>
                </c:pt>
                <c:pt idx="3">
                  <c:v>0.54544923854197247</c:v>
                </c:pt>
                <c:pt idx="4">
                  <c:v>0.76081046355753235</c:v>
                </c:pt>
                <c:pt idx="5">
                  <c:v>0.96831977467856944</c:v>
                </c:pt>
                <c:pt idx="6">
                  <c:v>1.1547829835351573</c:v>
                </c:pt>
                <c:pt idx="7">
                  <c:v>1.3159169045417427</c:v>
                </c:pt>
                <c:pt idx="8">
                  <c:v>1.457218624907211</c:v>
                </c:pt>
                <c:pt idx="9">
                  <c:v>1.5884112405653108</c:v>
                </c:pt>
                <c:pt idx="10">
                  <c:v>1.7155677111404581</c:v>
                </c:pt>
                <c:pt idx="11">
                  <c:v>1.840033080061658</c:v>
                </c:pt>
                <c:pt idx="12">
                  <c:v>1.9610122574409101</c:v>
                </c:pt>
                <c:pt idx="13">
                  <c:v>2.0781131356865106</c:v>
                </c:pt>
                <c:pt idx="14">
                  <c:v>2.1919105668700474</c:v>
                </c:pt>
                <c:pt idx="15">
                  <c:v>2.3032019280357479</c:v>
                </c:pt>
                <c:pt idx="16">
                  <c:v>2.4123969566674148</c:v>
                </c:pt>
              </c:numCache>
            </c:numRef>
          </c:val>
          <c:extLst>
            <c:ext xmlns:c16="http://schemas.microsoft.com/office/drawing/2014/chart" uri="{C3380CC4-5D6E-409C-BE32-E72D297353CC}">
              <c16:uniqueId val="{00000008-5C8F-DD46-AC35-839867C2CBF6}"/>
            </c:ext>
          </c:extLst>
        </c:ser>
        <c:dLbls>
          <c:showLegendKey val="0"/>
          <c:showVal val="0"/>
          <c:showCatName val="0"/>
          <c:showSerName val="0"/>
          <c:showPercent val="0"/>
          <c:showBubbleSize val="0"/>
        </c:dLbls>
        <c:axId val="1951702319"/>
        <c:axId val="1589443823"/>
      </c:areaChart>
      <c:catAx>
        <c:axId val="1951702319"/>
        <c:scaling>
          <c:orientation val="minMax"/>
        </c:scaling>
        <c:delete val="0"/>
        <c:axPos val="b"/>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9443823"/>
        <c:crosses val="autoZero"/>
        <c:auto val="1"/>
        <c:lblAlgn val="ctr"/>
        <c:lblOffset val="100"/>
        <c:tickLblSkip val="2"/>
        <c:noMultiLvlLbl val="0"/>
      </c:catAx>
      <c:valAx>
        <c:axId val="1589443823"/>
        <c:scaling>
          <c:orientation val="minMax"/>
        </c:scaling>
        <c:delete val="0"/>
        <c:axPos val="l"/>
        <c:numFmt formatCode="General" sourceLinked="1"/>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1702319"/>
        <c:crosses val="autoZero"/>
        <c:crossBetween val="midCat"/>
        <c:minorUnit val="2.5"/>
      </c:valAx>
      <c:spPr>
        <a:noFill/>
        <a:ln w="25400">
          <a:noFill/>
        </a:ln>
        <a:effectLst/>
      </c:spPr>
    </c:plotArea>
    <c:legend>
      <c:legendPos val="tr"/>
      <c:layout>
        <c:manualLayout>
          <c:xMode val="edge"/>
          <c:yMode val="edge"/>
          <c:x val="0.6540516396045547"/>
          <c:y val="6.2583163785783089E-2"/>
          <c:w val="0.30818035460447346"/>
          <c:h val="0.8314771438504106"/>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cat>
            <c:strRef>
              <c:f>EW_Pot!$M$10:$M$18</c:f>
              <c:strCache>
                <c:ptCount val="9"/>
                <c:pt idx="0">
                  <c:v>South America</c:v>
                </c:pt>
                <c:pt idx="1">
                  <c:v>North America</c:v>
                </c:pt>
                <c:pt idx="2">
                  <c:v>Southeast Asia</c:v>
                </c:pt>
                <c:pt idx="3">
                  <c:v>Northeast Asia</c:v>
                </c:pt>
                <c:pt idx="4">
                  <c:v>SAARC</c:v>
                </c:pt>
                <c:pt idx="5">
                  <c:v>SSA</c:v>
                </c:pt>
                <c:pt idx="6">
                  <c:v>MENA</c:v>
                </c:pt>
                <c:pt idx="7">
                  <c:v>Eurasia</c:v>
                </c:pt>
                <c:pt idx="8">
                  <c:v>Europe</c:v>
                </c:pt>
              </c:strCache>
            </c:strRef>
          </c:cat>
          <c:val>
            <c:numRef>
              <c:f>EW_Pot!$I$10:$I$18</c:f>
              <c:numCache>
                <c:formatCode>0.00</c:formatCode>
                <c:ptCount val="9"/>
                <c:pt idx="0">
                  <c:v>3.0635276000000005</c:v>
                </c:pt>
                <c:pt idx="1">
                  <c:v>4.5072640000000002</c:v>
                </c:pt>
                <c:pt idx="2">
                  <c:v>3.0550099999999998</c:v>
                </c:pt>
                <c:pt idx="3">
                  <c:v>2.8823380000000003</c:v>
                </c:pt>
                <c:pt idx="4">
                  <c:v>4.4517806000000002</c:v>
                </c:pt>
                <c:pt idx="5">
                  <c:v>4.711875199999997</c:v>
                </c:pt>
                <c:pt idx="6">
                  <c:v>1.3094468000000004</c:v>
                </c:pt>
                <c:pt idx="7">
                  <c:v>3.3453300000000001</c:v>
                </c:pt>
                <c:pt idx="8">
                  <c:v>3.6675527999999997</c:v>
                </c:pt>
              </c:numCache>
            </c:numRef>
          </c:val>
          <c:extLst>
            <c:ext xmlns:c16="http://schemas.microsoft.com/office/drawing/2014/chart" uri="{C3380CC4-5D6E-409C-BE32-E72D297353CC}">
              <c16:uniqueId val="{00000000-499C-A944-8DF3-B2720430F8A0}"/>
            </c:ext>
          </c:extLst>
        </c:ser>
        <c:ser>
          <c:idx val="1"/>
          <c:order val="1"/>
          <c:tx>
            <c:v>Range</c:v>
          </c:tx>
          <c:spPr>
            <a:solidFill>
              <a:schemeClr val="accent2"/>
            </a:solidFill>
            <a:ln>
              <a:noFill/>
            </a:ln>
            <a:effectLst/>
          </c:spPr>
          <c:invertIfNegative val="0"/>
          <c:dPt>
            <c:idx val="0"/>
            <c:invertIfNegative val="0"/>
            <c:bubble3D val="0"/>
            <c:spPr>
              <a:solidFill>
                <a:srgbClr val="65CDFF"/>
              </a:solidFill>
              <a:ln>
                <a:noFill/>
              </a:ln>
              <a:effectLst/>
            </c:spPr>
            <c:extLst>
              <c:ext xmlns:c16="http://schemas.microsoft.com/office/drawing/2014/chart" uri="{C3380CC4-5D6E-409C-BE32-E72D297353CC}">
                <c16:uniqueId val="{00000002-499C-A944-8DF3-B2720430F8A0}"/>
              </c:ext>
            </c:extLst>
          </c:dPt>
          <c:dPt>
            <c:idx val="1"/>
            <c:invertIfNegative val="0"/>
            <c:bubble3D val="0"/>
            <c:spPr>
              <a:solidFill>
                <a:srgbClr val="FF66FF"/>
              </a:solidFill>
              <a:ln>
                <a:noFill/>
              </a:ln>
              <a:effectLst/>
            </c:spPr>
            <c:extLst>
              <c:ext xmlns:c16="http://schemas.microsoft.com/office/drawing/2014/chart" uri="{C3380CC4-5D6E-409C-BE32-E72D297353CC}">
                <c16:uniqueId val="{00000003-499C-A944-8DF3-B2720430F8A0}"/>
              </c:ext>
            </c:extLst>
          </c:dPt>
          <c:dPt>
            <c:idx val="2"/>
            <c:invertIfNegative val="0"/>
            <c:bubble3D val="0"/>
            <c:spPr>
              <a:solidFill>
                <a:srgbClr val="6666FF"/>
              </a:solidFill>
              <a:ln>
                <a:noFill/>
              </a:ln>
              <a:effectLst/>
            </c:spPr>
            <c:extLst>
              <c:ext xmlns:c16="http://schemas.microsoft.com/office/drawing/2014/chart" uri="{C3380CC4-5D6E-409C-BE32-E72D297353CC}">
                <c16:uniqueId val="{00000004-499C-A944-8DF3-B2720430F8A0}"/>
              </c:ext>
            </c:extLst>
          </c:dPt>
          <c:dPt>
            <c:idx val="3"/>
            <c:invertIfNegative val="0"/>
            <c:bubble3D val="0"/>
            <c:spPr>
              <a:solidFill>
                <a:srgbClr val="34CC33"/>
              </a:solidFill>
              <a:ln>
                <a:noFill/>
              </a:ln>
              <a:effectLst/>
            </c:spPr>
            <c:extLst>
              <c:ext xmlns:c16="http://schemas.microsoft.com/office/drawing/2014/chart" uri="{C3380CC4-5D6E-409C-BE32-E72D297353CC}">
                <c16:uniqueId val="{00000005-499C-A944-8DF3-B2720430F8A0}"/>
              </c:ext>
            </c:extLst>
          </c:dPt>
          <c:dPt>
            <c:idx val="4"/>
            <c:invertIfNegative val="0"/>
            <c:bubble3D val="0"/>
            <c:spPr>
              <a:solidFill>
                <a:srgbClr val="FF0066"/>
              </a:solidFill>
              <a:ln>
                <a:noFill/>
              </a:ln>
              <a:effectLst/>
            </c:spPr>
            <c:extLst>
              <c:ext xmlns:c16="http://schemas.microsoft.com/office/drawing/2014/chart" uri="{C3380CC4-5D6E-409C-BE32-E72D297353CC}">
                <c16:uniqueId val="{00000006-499C-A944-8DF3-B2720430F8A0}"/>
              </c:ext>
            </c:extLst>
          </c:dPt>
          <c:dPt>
            <c:idx val="5"/>
            <c:invertIfNegative val="0"/>
            <c:bubble3D val="0"/>
            <c:spPr>
              <a:solidFill>
                <a:srgbClr val="FFCC99"/>
              </a:solidFill>
              <a:ln>
                <a:noFill/>
              </a:ln>
              <a:effectLst/>
            </c:spPr>
            <c:extLst>
              <c:ext xmlns:c16="http://schemas.microsoft.com/office/drawing/2014/chart" uri="{C3380CC4-5D6E-409C-BE32-E72D297353CC}">
                <c16:uniqueId val="{00000007-499C-A944-8DF3-B2720430F8A0}"/>
              </c:ext>
            </c:extLst>
          </c:dPt>
          <c:dPt>
            <c:idx val="6"/>
            <c:invertIfNegative val="0"/>
            <c:bubble3D val="0"/>
            <c:spPr>
              <a:solidFill>
                <a:srgbClr val="87A4B2"/>
              </a:solidFill>
              <a:ln>
                <a:noFill/>
              </a:ln>
              <a:effectLst/>
            </c:spPr>
            <c:extLst>
              <c:ext xmlns:c16="http://schemas.microsoft.com/office/drawing/2014/chart" uri="{C3380CC4-5D6E-409C-BE32-E72D297353CC}">
                <c16:uniqueId val="{00000008-499C-A944-8DF3-B2720430F8A0}"/>
              </c:ext>
            </c:extLst>
          </c:dPt>
          <c:dPt>
            <c:idx val="7"/>
            <c:invertIfNegative val="0"/>
            <c:bubble3D val="0"/>
            <c:spPr>
              <a:solidFill>
                <a:srgbClr val="CCFF33"/>
              </a:solidFill>
              <a:ln>
                <a:noFill/>
              </a:ln>
              <a:effectLst/>
            </c:spPr>
            <c:extLst>
              <c:ext xmlns:c16="http://schemas.microsoft.com/office/drawing/2014/chart" uri="{C3380CC4-5D6E-409C-BE32-E72D297353CC}">
                <c16:uniqueId val="{00000009-499C-A944-8DF3-B2720430F8A0}"/>
              </c:ext>
            </c:extLst>
          </c:dPt>
          <c:dPt>
            <c:idx val="8"/>
            <c:invertIfNegative val="0"/>
            <c:bubble3D val="0"/>
            <c:spPr>
              <a:solidFill>
                <a:srgbClr val="02FFCD"/>
              </a:solidFill>
              <a:ln>
                <a:noFill/>
              </a:ln>
              <a:effectLst/>
            </c:spPr>
            <c:extLst>
              <c:ext xmlns:c16="http://schemas.microsoft.com/office/drawing/2014/chart" uri="{C3380CC4-5D6E-409C-BE32-E72D297353CC}">
                <c16:uniqueId val="{0000000A-499C-A944-8DF3-B2720430F8A0}"/>
              </c:ext>
            </c:extLst>
          </c:dPt>
          <c:cat>
            <c:strRef>
              <c:f>EW_Pot!$M$10:$M$18</c:f>
              <c:strCache>
                <c:ptCount val="9"/>
                <c:pt idx="0">
                  <c:v>South America</c:v>
                </c:pt>
                <c:pt idx="1">
                  <c:v>North America</c:v>
                </c:pt>
                <c:pt idx="2">
                  <c:v>Southeast Asia</c:v>
                </c:pt>
                <c:pt idx="3">
                  <c:v>Northeast Asia</c:v>
                </c:pt>
                <c:pt idx="4">
                  <c:v>SAARC</c:v>
                </c:pt>
                <c:pt idx="5">
                  <c:v>SSA</c:v>
                </c:pt>
                <c:pt idx="6">
                  <c:v>MENA</c:v>
                </c:pt>
                <c:pt idx="7">
                  <c:v>Eurasia</c:v>
                </c:pt>
                <c:pt idx="8">
                  <c:v>Europe</c:v>
                </c:pt>
              </c:strCache>
            </c:strRef>
          </c:cat>
          <c:val>
            <c:numRef>
              <c:f>EW_Pot!$K$10:$K$18</c:f>
              <c:numCache>
                <c:formatCode>0.00</c:formatCode>
                <c:ptCount val="9"/>
                <c:pt idx="0">
                  <c:v>1.0415993840000004</c:v>
                </c:pt>
                <c:pt idx="1">
                  <c:v>1.5324697599999997</c:v>
                </c:pt>
                <c:pt idx="2">
                  <c:v>1.0387034000000006</c:v>
                </c:pt>
                <c:pt idx="3">
                  <c:v>0.97999491999999977</c:v>
                </c:pt>
                <c:pt idx="4">
                  <c:v>1.5136054039999998</c:v>
                </c:pt>
                <c:pt idx="5">
                  <c:v>1.6020375680000045</c:v>
                </c:pt>
                <c:pt idx="6">
                  <c:v>0.44521191199999977</c:v>
                </c:pt>
                <c:pt idx="7">
                  <c:v>1.1374122000000004</c:v>
                </c:pt>
                <c:pt idx="8">
                  <c:v>1.246967951999999</c:v>
                </c:pt>
              </c:numCache>
            </c:numRef>
          </c:val>
          <c:extLst>
            <c:ext xmlns:c16="http://schemas.microsoft.com/office/drawing/2014/chart" uri="{C3380CC4-5D6E-409C-BE32-E72D297353CC}">
              <c16:uniqueId val="{00000001-499C-A944-8DF3-B2720430F8A0}"/>
            </c:ext>
          </c:extLst>
        </c:ser>
        <c:dLbls>
          <c:showLegendKey val="0"/>
          <c:showVal val="0"/>
          <c:showCatName val="0"/>
          <c:showSerName val="0"/>
          <c:showPercent val="0"/>
          <c:showBubbleSize val="0"/>
        </c:dLbls>
        <c:gapWidth val="50"/>
        <c:overlap val="100"/>
        <c:axId val="1194747632"/>
        <c:axId val="1194749360"/>
      </c:barChart>
      <c:scatterChart>
        <c:scatterStyle val="lineMarker"/>
        <c:varyColors val="0"/>
        <c:ser>
          <c:idx val="2"/>
          <c:order val="2"/>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EW_Pot!$L$10:$L$18</c:f>
              <c:numCache>
                <c:formatCode>0.00</c:formatCode>
                <c:ptCount val="9"/>
                <c:pt idx="0">
                  <c:v>3.5843272920000007</c:v>
                </c:pt>
                <c:pt idx="1">
                  <c:v>5.27349888</c:v>
                </c:pt>
                <c:pt idx="2">
                  <c:v>3.5743616999999999</c:v>
                </c:pt>
                <c:pt idx="3">
                  <c:v>3.3723354600000004</c:v>
                </c:pt>
                <c:pt idx="4">
                  <c:v>5.2085833020000001</c:v>
                </c:pt>
                <c:pt idx="5">
                  <c:v>5.5128939839999997</c:v>
                </c:pt>
                <c:pt idx="6">
                  <c:v>1.5320527560000001</c:v>
                </c:pt>
                <c:pt idx="7">
                  <c:v>3.9140361000000006</c:v>
                </c:pt>
                <c:pt idx="8">
                  <c:v>4.2910367759999994</c:v>
                </c:pt>
              </c:numCache>
            </c:numRef>
          </c:yVal>
          <c:smooth val="0"/>
          <c:extLst>
            <c:ext xmlns:c16="http://schemas.microsoft.com/office/drawing/2014/chart" uri="{C3380CC4-5D6E-409C-BE32-E72D297353CC}">
              <c16:uniqueId val="{0000000B-499C-A944-8DF3-B2720430F8A0}"/>
            </c:ext>
          </c:extLst>
        </c:ser>
        <c:dLbls>
          <c:showLegendKey val="0"/>
          <c:showVal val="0"/>
          <c:showCatName val="0"/>
          <c:showSerName val="0"/>
          <c:showPercent val="0"/>
          <c:showBubbleSize val="0"/>
        </c:dLbls>
        <c:axId val="1194747632"/>
        <c:axId val="1194749360"/>
      </c:scatterChart>
      <c:catAx>
        <c:axId val="1194747632"/>
        <c:scaling>
          <c:orientation val="maxMin"/>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94749360"/>
        <c:crosses val="autoZero"/>
        <c:auto val="1"/>
        <c:lblAlgn val="ctr"/>
        <c:lblOffset val="100"/>
        <c:noMultiLvlLbl val="0"/>
      </c:catAx>
      <c:valAx>
        <c:axId val="1194749360"/>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Enhanced weathering technical potential [GtCO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94747632"/>
        <c:crosses val="max"/>
        <c:crossBetween val="between"/>
      </c:valAx>
      <c:spPr>
        <a:noFill/>
        <a:ln w="1905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Mining!$F$39</c:f>
              <c:strCache>
                <c:ptCount val="1"/>
                <c:pt idx="0">
                  <c:v>CAPEX [€1989/(t/a)]</c:v>
                </c:pt>
              </c:strCache>
            </c:strRef>
          </c:tx>
          <c:spPr>
            <a:ln w="19050" cap="rnd">
              <a:solidFill>
                <a:schemeClr val="accent1"/>
              </a:solidFill>
              <a:round/>
            </a:ln>
            <a:effectLst/>
          </c:spPr>
          <c:marker>
            <c:symbol val="none"/>
          </c:marker>
          <c:xVal>
            <c:numRef>
              <c:f>Mining!$D$40:$D$62</c:f>
              <c:numCache>
                <c:formatCode>General</c:formatCode>
                <c:ptCount val="23"/>
                <c:pt idx="0">
                  <c:v>3.6499999999999998E-4</c:v>
                </c:pt>
                <c:pt idx="1">
                  <c:v>7.2999999999999996E-4</c:v>
                </c:pt>
                <c:pt idx="2">
                  <c:v>1.4599999999999999E-3</c:v>
                </c:pt>
                <c:pt idx="3">
                  <c:v>2.9199999999999999E-3</c:v>
                </c:pt>
                <c:pt idx="4">
                  <c:v>5.8399999999999997E-3</c:v>
                </c:pt>
                <c:pt idx="5">
                  <c:v>1.1679999999999999E-2</c:v>
                </c:pt>
                <c:pt idx="6">
                  <c:v>2.3359999999999999E-2</c:v>
                </c:pt>
                <c:pt idx="7">
                  <c:v>4.6719999999999998E-2</c:v>
                </c:pt>
                <c:pt idx="8">
                  <c:v>9.3439999999999995E-2</c:v>
                </c:pt>
                <c:pt idx="9">
                  <c:v>0.18687999999999999</c:v>
                </c:pt>
                <c:pt idx="10">
                  <c:v>0.37375999999999998</c:v>
                </c:pt>
                <c:pt idx="11">
                  <c:v>0.74751999999999996</c:v>
                </c:pt>
                <c:pt idx="12">
                  <c:v>1.4950399999999999</c:v>
                </c:pt>
                <c:pt idx="13">
                  <c:v>2.9900799999999998</c:v>
                </c:pt>
                <c:pt idx="14">
                  <c:v>5.9801599999999997</c:v>
                </c:pt>
                <c:pt idx="15">
                  <c:v>11.960319999999999</c:v>
                </c:pt>
                <c:pt idx="16">
                  <c:v>23.920639999999999</c:v>
                </c:pt>
                <c:pt idx="17">
                  <c:v>47.841279999999998</c:v>
                </c:pt>
                <c:pt idx="18">
                  <c:v>95.682559999999995</c:v>
                </c:pt>
                <c:pt idx="19">
                  <c:v>191.36511999999999</c:v>
                </c:pt>
                <c:pt idx="20">
                  <c:v>382.73023999999998</c:v>
                </c:pt>
                <c:pt idx="21">
                  <c:v>765.46047999999996</c:v>
                </c:pt>
                <c:pt idx="22">
                  <c:v>1530.9209599999999</c:v>
                </c:pt>
              </c:numCache>
            </c:numRef>
          </c:xVal>
          <c:yVal>
            <c:numRef>
              <c:f>Mining!$F$40:$F$62</c:f>
              <c:numCache>
                <c:formatCode>0.00</c:formatCode>
                <c:ptCount val="23"/>
                <c:pt idx="0">
                  <c:v>1369.8630136986301</c:v>
                </c:pt>
                <c:pt idx="1">
                  <c:v>1038.1620318564374</c:v>
                </c:pt>
                <c:pt idx="2">
                  <c:v>786.7796952034488</c:v>
                </c:pt>
                <c:pt idx="3">
                  <c:v>596.26750910693443</c:v>
                </c:pt>
                <c:pt idx="4">
                  <c:v>451.88627081263502</c:v>
                </c:pt>
                <c:pt idx="5">
                  <c:v>342.46575342465746</c:v>
                </c:pt>
                <c:pt idx="6">
                  <c:v>259.54050796410934</c:v>
                </c:pt>
                <c:pt idx="7">
                  <c:v>196.69492380086217</c:v>
                </c:pt>
                <c:pt idx="8">
                  <c:v>149.06687727673361</c:v>
                </c:pt>
                <c:pt idx="9">
                  <c:v>112.97156770315873</c:v>
                </c:pt>
                <c:pt idx="10">
                  <c:v>85.616438356164352</c:v>
                </c:pt>
                <c:pt idx="11">
                  <c:v>64.885126991027306</c:v>
                </c:pt>
                <c:pt idx="12">
                  <c:v>49.173730950215521</c:v>
                </c:pt>
                <c:pt idx="13">
                  <c:v>37.266719319183395</c:v>
                </c:pt>
                <c:pt idx="14">
                  <c:v>28.242891925789682</c:v>
                </c:pt>
                <c:pt idx="15">
                  <c:v>21.404109589041092</c:v>
                </c:pt>
                <c:pt idx="16">
                  <c:v>16.221281747756834</c:v>
                </c:pt>
                <c:pt idx="17">
                  <c:v>12.293432737553887</c:v>
                </c:pt>
                <c:pt idx="18">
                  <c:v>9.3166798297958433</c:v>
                </c:pt>
                <c:pt idx="19">
                  <c:v>7.0607229814474177</c:v>
                </c:pt>
                <c:pt idx="20">
                  <c:v>5.3510273972602702</c:v>
                </c:pt>
                <c:pt idx="21">
                  <c:v>4.055320436939204</c:v>
                </c:pt>
                <c:pt idx="22">
                  <c:v>3.0733581843884696</c:v>
                </c:pt>
              </c:numCache>
            </c:numRef>
          </c:yVal>
          <c:smooth val="1"/>
          <c:extLst>
            <c:ext xmlns:c16="http://schemas.microsoft.com/office/drawing/2014/chart" uri="{C3380CC4-5D6E-409C-BE32-E72D297353CC}">
              <c16:uniqueId val="{00000000-6235-314B-A5BB-0DD837FEA7F0}"/>
            </c:ext>
          </c:extLst>
        </c:ser>
        <c:dLbls>
          <c:showLegendKey val="0"/>
          <c:showVal val="0"/>
          <c:showCatName val="0"/>
          <c:showSerName val="0"/>
          <c:showPercent val="0"/>
          <c:showBubbleSize val="0"/>
        </c:dLbls>
        <c:axId val="1584728240"/>
        <c:axId val="1584729968"/>
      </c:scatterChart>
      <c:scatterChart>
        <c:scatterStyle val="lineMarker"/>
        <c:varyColors val="0"/>
        <c:ser>
          <c:idx val="1"/>
          <c:order val="1"/>
          <c:spPr>
            <a:ln w="25400" cap="rnd">
              <a:noFill/>
              <a:round/>
            </a:ln>
            <a:effectLst/>
          </c:spPr>
          <c:marker>
            <c:symbol val="x"/>
            <c:size val="8"/>
            <c:spPr>
              <a:noFill/>
              <a:ln w="19050">
                <a:solidFill>
                  <a:schemeClr val="accent2"/>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Mining!$D$63</c:f>
              <c:numCache>
                <c:formatCode>General</c:formatCode>
                <c:ptCount val="1"/>
                <c:pt idx="0">
                  <c:v>3.65</c:v>
                </c:pt>
              </c:numCache>
            </c:numRef>
          </c:xVal>
          <c:yVal>
            <c:numRef>
              <c:f>Mining!$F$63</c:f>
              <c:numCache>
                <c:formatCode>0.00</c:formatCode>
                <c:ptCount val="1"/>
                <c:pt idx="0">
                  <c:v>6.0147488584474891</c:v>
                </c:pt>
              </c:numCache>
            </c:numRef>
          </c:yVal>
          <c:smooth val="0"/>
          <c:extLst>
            <c:ext xmlns:c16="http://schemas.microsoft.com/office/drawing/2014/chart" uri="{C3380CC4-5D6E-409C-BE32-E72D297353CC}">
              <c16:uniqueId val="{00000000-084F-874F-9DA7-74D01E7E73D0}"/>
            </c:ext>
          </c:extLst>
        </c:ser>
        <c:dLbls>
          <c:showLegendKey val="0"/>
          <c:showVal val="0"/>
          <c:showCatName val="0"/>
          <c:showSerName val="0"/>
          <c:showPercent val="0"/>
          <c:showBubbleSize val="0"/>
        </c:dLbls>
        <c:axId val="1584728240"/>
        <c:axId val="1584729968"/>
      </c:scatterChart>
      <c:valAx>
        <c:axId val="1584728240"/>
        <c:scaling>
          <c:logBase val="10"/>
          <c:orientation val="minMax"/>
          <c:max val="1500"/>
          <c:min val="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Capacity [MtOre/a]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4729968"/>
        <c:crosses val="autoZero"/>
        <c:crossBetween val="midCat"/>
      </c:valAx>
      <c:valAx>
        <c:axId val="1584729968"/>
        <c:scaling>
          <c:orientation val="minMax"/>
          <c:max val="6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CAPEX</a:t>
                </a:r>
                <a:r>
                  <a:rPr lang="en-US" sz="1400" b="1" baseline="0">
                    <a:solidFill>
                      <a:schemeClr val="tx1"/>
                    </a:solidFill>
                    <a:latin typeface="Arial" panose="020B0604020202020204" pitchFamily="34" charset="0"/>
                    <a:cs typeface="Arial" panose="020B0604020202020204" pitchFamily="34" charset="0"/>
                  </a:rPr>
                  <a:t> [€/(tOre/a)]</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4728240"/>
        <c:crosses val="autoZero"/>
        <c:crossBetween val="midCat"/>
      </c:valAx>
      <c:spPr>
        <a:noFill/>
        <a:ln w="190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7107843137254"/>
          <c:y val="5.0925944490355965E-2"/>
          <c:w val="0.70666519607843137"/>
          <c:h val="0.65198623942338851"/>
        </c:manualLayout>
      </c:layout>
      <c:scatterChart>
        <c:scatterStyle val="lineMarker"/>
        <c:varyColors val="0"/>
        <c:ser>
          <c:idx val="2"/>
          <c:order val="2"/>
          <c:tx>
            <c:strRef>
              <c:f>'Rock Handling'!$O$1:$O$2</c:f>
              <c:strCache>
                <c:ptCount val="2"/>
                <c:pt idx="0">
                  <c:v>Electricity demand</c:v>
                </c:pt>
                <c:pt idx="1">
                  <c:v>Basalt</c:v>
                </c:pt>
              </c:strCache>
            </c:strRef>
          </c:tx>
          <c:spPr>
            <a:ln w="25400" cap="rnd">
              <a:solidFill>
                <a:srgbClr val="00B050"/>
              </a:solidFill>
              <a:round/>
            </a:ln>
            <a:effectLst/>
          </c:spPr>
          <c:marker>
            <c:symbol val="diamond"/>
            <c:size val="8"/>
            <c:spPr>
              <a:solidFill>
                <a:schemeClr val="bg1"/>
              </a:solidFill>
              <a:ln w="25400">
                <a:solidFill>
                  <a:srgbClr val="00B050"/>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Handling'!$O$6:$O$17</c:f>
              <c:numCache>
                <c:formatCode>General</c:formatCode>
                <c:ptCount val="12"/>
                <c:pt idx="0">
                  <c:v>0</c:v>
                </c:pt>
                <c:pt idx="1">
                  <c:v>384.61583773805575</c:v>
                </c:pt>
                <c:pt idx="2">
                  <c:v>484.22215292722672</c:v>
                </c:pt>
                <c:pt idx="3">
                  <c:v>397.01735881443659</c:v>
                </c:pt>
                <c:pt idx="4">
                  <c:v>282.82848739602213</c:v>
                </c:pt>
                <c:pt idx="5">
                  <c:v>188.32068554686714</c:v>
                </c:pt>
                <c:pt idx="6">
                  <c:v>120.7225249902521</c:v>
                </c:pt>
                <c:pt idx="7">
                  <c:v>136.24217037732987</c:v>
                </c:pt>
                <c:pt idx="8">
                  <c:v>198.86387573661989</c:v>
                </c:pt>
                <c:pt idx="9">
                  <c:v>287.42434075465974</c:v>
                </c:pt>
                <c:pt idx="10">
                  <c:v>412.66775147323978</c:v>
                </c:pt>
                <c:pt idx="11">
                  <c:v>589.78868150931953</c:v>
                </c:pt>
              </c:numCache>
            </c:numRef>
          </c:yVal>
          <c:smooth val="1"/>
          <c:extLst>
            <c:ext xmlns:c16="http://schemas.microsoft.com/office/drawing/2014/chart" uri="{C3380CC4-5D6E-409C-BE32-E72D297353CC}">
              <c16:uniqueId val="{00000002-A212-FD4B-91B2-E078C10CE857}"/>
            </c:ext>
          </c:extLst>
        </c:ser>
        <c:ser>
          <c:idx val="3"/>
          <c:order val="3"/>
          <c:tx>
            <c:strRef>
              <c:f>'Rock Handling'!$P$1:$P$2</c:f>
              <c:strCache>
                <c:ptCount val="2"/>
                <c:pt idx="0">
                  <c:v>Electricity demand</c:v>
                </c:pt>
                <c:pt idx="1">
                  <c:v>Dunite</c:v>
                </c:pt>
              </c:strCache>
            </c:strRef>
          </c:tx>
          <c:spPr>
            <a:ln w="25400" cap="rnd">
              <a:solidFill>
                <a:srgbClr val="00B050"/>
              </a:solidFill>
              <a:round/>
            </a:ln>
            <a:effectLst/>
          </c:spPr>
          <c:marker>
            <c:symbol val="square"/>
            <c:size val="8"/>
            <c:spPr>
              <a:solidFill>
                <a:schemeClr val="bg1"/>
              </a:solidFill>
              <a:ln w="25400">
                <a:solidFill>
                  <a:srgbClr val="00B050"/>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Handling'!$P$6:$P$17</c:f>
              <c:numCache>
                <c:formatCode>General</c:formatCode>
                <c:ptCount val="12"/>
                <c:pt idx="0">
                  <c:v>0</c:v>
                </c:pt>
                <c:pt idx="1">
                  <c:v>343.40699798040686</c:v>
                </c:pt>
                <c:pt idx="2">
                  <c:v>432.3412079707382</c:v>
                </c:pt>
                <c:pt idx="3">
                  <c:v>354.47978465574698</c:v>
                </c:pt>
                <c:pt idx="4">
                  <c:v>252.52543517501977</c:v>
                </c:pt>
                <c:pt idx="5">
                  <c:v>168.14346923827424</c:v>
                </c:pt>
                <c:pt idx="6">
                  <c:v>107.78796874129651</c:v>
                </c:pt>
                <c:pt idx="7">
                  <c:v>136.24217037732987</c:v>
                </c:pt>
                <c:pt idx="8">
                  <c:v>198.86387573661989</c:v>
                </c:pt>
                <c:pt idx="9">
                  <c:v>287.42434075465974</c:v>
                </c:pt>
                <c:pt idx="10">
                  <c:v>412.66775147323978</c:v>
                </c:pt>
                <c:pt idx="11">
                  <c:v>589.78868150931953</c:v>
                </c:pt>
              </c:numCache>
            </c:numRef>
          </c:yVal>
          <c:smooth val="1"/>
          <c:extLst>
            <c:ext xmlns:c16="http://schemas.microsoft.com/office/drawing/2014/chart" uri="{C3380CC4-5D6E-409C-BE32-E72D297353CC}">
              <c16:uniqueId val="{00000003-A212-FD4B-91B2-E078C10CE857}"/>
            </c:ext>
          </c:extLst>
        </c:ser>
        <c:dLbls>
          <c:showLegendKey val="0"/>
          <c:showVal val="0"/>
          <c:showCatName val="0"/>
          <c:showSerName val="0"/>
          <c:showPercent val="0"/>
          <c:showBubbleSize val="0"/>
        </c:dLbls>
        <c:axId val="263475039"/>
        <c:axId val="263217887"/>
      </c:scatterChart>
      <c:scatterChart>
        <c:scatterStyle val="lineMarker"/>
        <c:varyColors val="0"/>
        <c:ser>
          <c:idx val="0"/>
          <c:order val="0"/>
          <c:tx>
            <c:strRef>
              <c:f>'Rock Handling'!$L$1:$L$2</c:f>
              <c:strCache>
                <c:ptCount val="2"/>
                <c:pt idx="0">
                  <c:v>Share weathered</c:v>
                </c:pt>
                <c:pt idx="1">
                  <c:v>Basalt</c:v>
                </c:pt>
              </c:strCache>
            </c:strRef>
          </c:tx>
          <c:spPr>
            <a:ln w="25400" cap="rnd">
              <a:solidFill>
                <a:schemeClr val="accent1"/>
              </a:solidFill>
              <a:round/>
            </a:ln>
            <a:effectLst/>
          </c:spPr>
          <c:marker>
            <c:symbol val="diamond"/>
            <c:size val="8"/>
            <c:spPr>
              <a:solidFill>
                <a:schemeClr val="bg1"/>
              </a:solidFill>
              <a:ln w="25400">
                <a:solidFill>
                  <a:schemeClr val="accent1"/>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Handling'!$L$6:$L$17</c:f>
              <c:numCache>
                <c:formatCode>0.00%</c:formatCode>
                <c:ptCount val="12"/>
                <c:pt idx="0">
                  <c:v>4.3505511217938175E-3</c:v>
                </c:pt>
                <c:pt idx="1">
                  <c:v>1.0290193249560592E-2</c:v>
                </c:pt>
                <c:pt idx="2">
                  <c:v>2.4339003070866762E-2</c:v>
                </c:pt>
                <c:pt idx="3">
                  <c:v>5.7568119093288822E-2</c:v>
                </c:pt>
                <c:pt idx="4">
                  <c:v>0.13616368453094024</c:v>
                </c:pt>
                <c:pt idx="5">
                  <c:v>0.3220627888675075</c:v>
                </c:pt>
                <c:pt idx="6">
                  <c:v>0.76176287627959693</c:v>
                </c:pt>
                <c:pt idx="7">
                  <c:v>1</c:v>
                </c:pt>
                <c:pt idx="8">
                  <c:v>1</c:v>
                </c:pt>
                <c:pt idx="9">
                  <c:v>1</c:v>
                </c:pt>
                <c:pt idx="10">
                  <c:v>1</c:v>
                </c:pt>
                <c:pt idx="11">
                  <c:v>1</c:v>
                </c:pt>
              </c:numCache>
            </c:numRef>
          </c:yVal>
          <c:smooth val="1"/>
          <c:extLst>
            <c:ext xmlns:c16="http://schemas.microsoft.com/office/drawing/2014/chart" uri="{C3380CC4-5D6E-409C-BE32-E72D297353CC}">
              <c16:uniqueId val="{00000000-A212-FD4B-91B2-E078C10CE857}"/>
            </c:ext>
          </c:extLst>
        </c:ser>
        <c:ser>
          <c:idx val="1"/>
          <c:order val="1"/>
          <c:tx>
            <c:strRef>
              <c:f>'Rock Handling'!$M$1:$M$2</c:f>
              <c:strCache>
                <c:ptCount val="2"/>
                <c:pt idx="0">
                  <c:v>Share weathered</c:v>
                </c:pt>
                <c:pt idx="1">
                  <c:v>Dunite</c:v>
                </c:pt>
              </c:strCache>
            </c:strRef>
          </c:tx>
          <c:spPr>
            <a:ln w="25400" cap="rnd">
              <a:solidFill>
                <a:schemeClr val="accent2"/>
              </a:solidFill>
              <a:round/>
            </a:ln>
            <a:effectLst/>
          </c:spPr>
          <c:marker>
            <c:symbol val="square"/>
            <c:size val="8"/>
            <c:spPr>
              <a:solidFill>
                <a:schemeClr val="bg1"/>
              </a:solidFill>
              <a:ln w="25400">
                <a:solidFill>
                  <a:schemeClr val="accent2"/>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Handling'!$M$6:$M$17</c:f>
              <c:numCache>
                <c:formatCode>0.00%</c:formatCode>
                <c:ptCount val="12"/>
                <c:pt idx="0">
                  <c:v>4.8726172564090755E-3</c:v>
                </c:pt>
                <c:pt idx="1">
                  <c:v>1.1525016439507865E-2</c:v>
                </c:pt>
                <c:pt idx="2">
                  <c:v>2.7259683439370772E-2</c:v>
                </c:pt>
                <c:pt idx="3">
                  <c:v>6.4476293384483477E-2</c:v>
                </c:pt>
                <c:pt idx="4">
                  <c:v>0.15250332667465308</c:v>
                </c:pt>
                <c:pt idx="5">
                  <c:v>0.36071032353160842</c:v>
                </c:pt>
                <c:pt idx="6">
                  <c:v>0.85317442143314859</c:v>
                </c:pt>
                <c:pt idx="7">
                  <c:v>1</c:v>
                </c:pt>
                <c:pt idx="8">
                  <c:v>1</c:v>
                </c:pt>
                <c:pt idx="9">
                  <c:v>1</c:v>
                </c:pt>
                <c:pt idx="10">
                  <c:v>1</c:v>
                </c:pt>
                <c:pt idx="11">
                  <c:v>1</c:v>
                </c:pt>
              </c:numCache>
            </c:numRef>
          </c:yVal>
          <c:smooth val="1"/>
          <c:extLst>
            <c:ext xmlns:c16="http://schemas.microsoft.com/office/drawing/2014/chart" uri="{C3380CC4-5D6E-409C-BE32-E72D297353CC}">
              <c16:uniqueId val="{00000001-A212-FD4B-91B2-E078C10CE857}"/>
            </c:ext>
          </c:extLst>
        </c:ser>
        <c:dLbls>
          <c:showLegendKey val="0"/>
          <c:showVal val="0"/>
          <c:showCatName val="0"/>
          <c:showSerName val="0"/>
          <c:showPercent val="0"/>
          <c:showBubbleSize val="0"/>
        </c:dLbls>
        <c:axId val="349611087"/>
        <c:axId val="1900784048"/>
      </c:scatterChart>
      <c:valAx>
        <c:axId val="263475039"/>
        <c:scaling>
          <c:logBase val="10"/>
          <c:orientation val="minMax"/>
          <c:max val="100"/>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Grain Size [μm]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 sourceLinked="0"/>
        <c:majorTickMark val="cross"/>
        <c:minorTickMark val="cross"/>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63217887"/>
        <c:crosses val="autoZero"/>
        <c:crossBetween val="midCat"/>
      </c:valAx>
      <c:valAx>
        <c:axId val="263217887"/>
        <c:scaling>
          <c:orientation val="minMax"/>
          <c:max val="5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u="none" strike="noStrike" kern="1200" baseline="0">
                    <a:solidFill>
                      <a:schemeClr val="tx1"/>
                    </a:solidFill>
                    <a:latin typeface="Arial" panose="020B0604020202020204" pitchFamily="34" charset="0"/>
                    <a:cs typeface="Arial" panose="020B0604020202020204" pitchFamily="34" charset="0"/>
                  </a:rPr>
                  <a:t>Electricity comminution [kWh</a:t>
                </a:r>
                <a:r>
                  <a:rPr lang="en-US" sz="1400" b="1" i="0" u="none" strike="noStrike" kern="1200" baseline="-25000">
                    <a:solidFill>
                      <a:schemeClr val="tx1"/>
                    </a:solidFill>
                    <a:latin typeface="Arial" panose="020B0604020202020204" pitchFamily="34" charset="0"/>
                    <a:cs typeface="Arial" panose="020B0604020202020204" pitchFamily="34" charset="0"/>
                  </a:rPr>
                  <a:t>el</a:t>
                </a:r>
                <a:r>
                  <a:rPr lang="en-US" sz="1400" b="1" i="0" u="none" strike="noStrike" kern="1200" baseline="0">
                    <a:solidFill>
                      <a:schemeClr val="tx1"/>
                    </a:solidFill>
                    <a:latin typeface="Arial" panose="020B0604020202020204" pitchFamily="34" charset="0"/>
                    <a:cs typeface="Arial" panose="020B0604020202020204" pitchFamily="34" charset="0"/>
                  </a:rPr>
                  <a:t>/tCO</a:t>
                </a:r>
                <a:r>
                  <a:rPr lang="en-US" sz="1400" b="1" i="0" u="none" strike="noStrike" kern="1200" baseline="-25000">
                    <a:solidFill>
                      <a:schemeClr val="tx1"/>
                    </a:solidFill>
                    <a:latin typeface="Arial" panose="020B0604020202020204" pitchFamily="34" charset="0"/>
                    <a:cs typeface="Arial" panose="020B0604020202020204" pitchFamily="34" charset="0"/>
                  </a:rPr>
                  <a:t>2</a:t>
                </a:r>
                <a:r>
                  <a:rPr lang="en-US" sz="1400" b="1" i="0" u="none" strike="noStrike" kern="1200" baseline="0">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63475039"/>
        <c:crosses val="max"/>
        <c:crossBetween val="midCat"/>
        <c:majorUnit val="100"/>
      </c:valAx>
      <c:valAx>
        <c:axId val="1900784048"/>
        <c:scaling>
          <c:orientation val="minMax"/>
          <c:max val="1"/>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u="none" strike="noStrike" kern="1200" baseline="0">
                    <a:solidFill>
                      <a:schemeClr val="tx1"/>
                    </a:solidFill>
                    <a:latin typeface="Arial" panose="020B0604020202020204" pitchFamily="34" charset="0"/>
                    <a:cs typeface="Arial" panose="020B0604020202020204" pitchFamily="34" charset="0"/>
                  </a:rPr>
                  <a:t>Gravimetric share of rock weathered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9611087"/>
        <c:crosses val="autoZero"/>
        <c:crossBetween val="midCat"/>
        <c:majorUnit val="0.2"/>
      </c:valAx>
      <c:valAx>
        <c:axId val="349611087"/>
        <c:scaling>
          <c:logBase val="10"/>
          <c:orientation val="minMax"/>
          <c:max val="100"/>
          <c:min val="0.1"/>
        </c:scaling>
        <c:delete val="1"/>
        <c:axPos val="t"/>
        <c:numFmt formatCode="0.00" sourceLinked="1"/>
        <c:majorTickMark val="out"/>
        <c:minorTickMark val="none"/>
        <c:tickLblPos val="nextTo"/>
        <c:crossAx val="1900784048"/>
        <c:crosses val="max"/>
        <c:crossBetween val="midCat"/>
      </c:valAx>
      <c:spPr>
        <a:noFill/>
        <a:ln w="19050">
          <a:solidFill>
            <a:schemeClr val="tx1"/>
          </a:solidFill>
        </a:ln>
        <a:effectLst/>
      </c:spPr>
    </c:plotArea>
    <c:legend>
      <c:legendPos val="b"/>
      <c:layout>
        <c:manualLayout>
          <c:xMode val="edge"/>
          <c:yMode val="edge"/>
          <c:x val="4.2030089014728385E-2"/>
          <c:y val="0.85812060185185191"/>
          <c:w val="0.92421166308102232"/>
          <c:h val="0.1141016203703703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7107843137254"/>
          <c:y val="5.0925944490355965E-2"/>
          <c:w val="0.70666519607843137"/>
          <c:h val="0.65198623942338851"/>
        </c:manualLayout>
      </c:layout>
      <c:scatterChart>
        <c:scatterStyle val="lineMarker"/>
        <c:varyColors val="0"/>
        <c:ser>
          <c:idx val="2"/>
          <c:order val="2"/>
          <c:tx>
            <c:strRef>
              <c:f>'Rock Handling'!$O$1:$O$2</c:f>
              <c:strCache>
                <c:ptCount val="2"/>
                <c:pt idx="0">
                  <c:v>Electricity demand</c:v>
                </c:pt>
                <c:pt idx="1">
                  <c:v>Basalt</c:v>
                </c:pt>
              </c:strCache>
            </c:strRef>
          </c:tx>
          <c:spPr>
            <a:ln w="25400" cap="rnd">
              <a:solidFill>
                <a:srgbClr val="00B050"/>
              </a:solidFill>
              <a:round/>
            </a:ln>
            <a:effectLst/>
          </c:spPr>
          <c:marker>
            <c:symbol val="diamond"/>
            <c:size val="8"/>
            <c:spPr>
              <a:solidFill>
                <a:schemeClr val="bg1"/>
              </a:solidFill>
              <a:ln w="25400">
                <a:solidFill>
                  <a:srgbClr val="00B050"/>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Handling'!$O$6:$O$17</c:f>
              <c:numCache>
                <c:formatCode>General</c:formatCode>
                <c:ptCount val="12"/>
                <c:pt idx="0">
                  <c:v>0</c:v>
                </c:pt>
                <c:pt idx="1">
                  <c:v>384.61583773805575</c:v>
                </c:pt>
                <c:pt idx="2">
                  <c:v>484.22215292722672</c:v>
                </c:pt>
                <c:pt idx="3">
                  <c:v>397.01735881443659</c:v>
                </c:pt>
                <c:pt idx="4">
                  <c:v>282.82848739602213</c:v>
                </c:pt>
                <c:pt idx="5">
                  <c:v>188.32068554686714</c:v>
                </c:pt>
                <c:pt idx="6">
                  <c:v>120.7225249902521</c:v>
                </c:pt>
                <c:pt idx="7">
                  <c:v>136.24217037732987</c:v>
                </c:pt>
                <c:pt idx="8">
                  <c:v>198.86387573661989</c:v>
                </c:pt>
                <c:pt idx="9">
                  <c:v>287.42434075465974</c:v>
                </c:pt>
                <c:pt idx="10">
                  <c:v>412.66775147323978</c:v>
                </c:pt>
                <c:pt idx="11">
                  <c:v>589.78868150931953</c:v>
                </c:pt>
              </c:numCache>
            </c:numRef>
          </c:yVal>
          <c:smooth val="1"/>
          <c:extLst>
            <c:ext xmlns:c16="http://schemas.microsoft.com/office/drawing/2014/chart" uri="{C3380CC4-5D6E-409C-BE32-E72D297353CC}">
              <c16:uniqueId val="{00000002-A212-FD4B-91B2-E078C10CE857}"/>
            </c:ext>
          </c:extLst>
        </c:ser>
        <c:ser>
          <c:idx val="3"/>
          <c:order val="3"/>
          <c:tx>
            <c:strRef>
              <c:f>'Rock Handling'!$P$1:$P$2</c:f>
              <c:strCache>
                <c:ptCount val="2"/>
                <c:pt idx="0">
                  <c:v>Electricity demand</c:v>
                </c:pt>
                <c:pt idx="1">
                  <c:v>Dunite</c:v>
                </c:pt>
              </c:strCache>
            </c:strRef>
          </c:tx>
          <c:spPr>
            <a:ln w="25400" cap="rnd">
              <a:solidFill>
                <a:srgbClr val="00B050"/>
              </a:solidFill>
              <a:round/>
            </a:ln>
            <a:effectLst/>
          </c:spPr>
          <c:marker>
            <c:symbol val="square"/>
            <c:size val="8"/>
            <c:spPr>
              <a:solidFill>
                <a:schemeClr val="bg1"/>
              </a:solidFill>
              <a:ln w="25400">
                <a:solidFill>
                  <a:srgbClr val="00B050"/>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Handling'!$P$6:$P$17</c:f>
              <c:numCache>
                <c:formatCode>General</c:formatCode>
                <c:ptCount val="12"/>
                <c:pt idx="0">
                  <c:v>0</c:v>
                </c:pt>
                <c:pt idx="1">
                  <c:v>343.40699798040686</c:v>
                </c:pt>
                <c:pt idx="2">
                  <c:v>432.3412079707382</c:v>
                </c:pt>
                <c:pt idx="3">
                  <c:v>354.47978465574698</c:v>
                </c:pt>
                <c:pt idx="4">
                  <c:v>252.52543517501977</c:v>
                </c:pt>
                <c:pt idx="5">
                  <c:v>168.14346923827424</c:v>
                </c:pt>
                <c:pt idx="6">
                  <c:v>107.78796874129651</c:v>
                </c:pt>
                <c:pt idx="7">
                  <c:v>136.24217037732987</c:v>
                </c:pt>
                <c:pt idx="8">
                  <c:v>198.86387573661989</c:v>
                </c:pt>
                <c:pt idx="9">
                  <c:v>287.42434075465974</c:v>
                </c:pt>
                <c:pt idx="10">
                  <c:v>412.66775147323978</c:v>
                </c:pt>
                <c:pt idx="11">
                  <c:v>589.78868150931953</c:v>
                </c:pt>
              </c:numCache>
            </c:numRef>
          </c:yVal>
          <c:smooth val="1"/>
          <c:extLst>
            <c:ext xmlns:c16="http://schemas.microsoft.com/office/drawing/2014/chart" uri="{C3380CC4-5D6E-409C-BE32-E72D297353CC}">
              <c16:uniqueId val="{00000003-A212-FD4B-91B2-E078C10CE857}"/>
            </c:ext>
          </c:extLst>
        </c:ser>
        <c:dLbls>
          <c:showLegendKey val="0"/>
          <c:showVal val="0"/>
          <c:showCatName val="0"/>
          <c:showSerName val="0"/>
          <c:showPercent val="0"/>
          <c:showBubbleSize val="0"/>
        </c:dLbls>
        <c:axId val="263475039"/>
        <c:axId val="263217887"/>
      </c:scatterChart>
      <c:scatterChart>
        <c:scatterStyle val="lineMarker"/>
        <c:varyColors val="0"/>
        <c:ser>
          <c:idx val="0"/>
          <c:order val="0"/>
          <c:tx>
            <c:strRef>
              <c:f>'Rock Handling'!$L$1:$L$2</c:f>
              <c:strCache>
                <c:ptCount val="2"/>
                <c:pt idx="0">
                  <c:v>Share weathered</c:v>
                </c:pt>
                <c:pt idx="1">
                  <c:v>Basalt</c:v>
                </c:pt>
              </c:strCache>
            </c:strRef>
          </c:tx>
          <c:spPr>
            <a:ln w="25400" cap="rnd">
              <a:solidFill>
                <a:schemeClr val="accent1"/>
              </a:solidFill>
              <a:round/>
            </a:ln>
            <a:effectLst/>
          </c:spPr>
          <c:marker>
            <c:symbol val="diamond"/>
            <c:size val="8"/>
            <c:spPr>
              <a:solidFill>
                <a:schemeClr val="bg1"/>
              </a:solidFill>
              <a:ln w="25400">
                <a:solidFill>
                  <a:schemeClr val="accent1"/>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Handling'!$L$6:$L$17</c:f>
              <c:numCache>
                <c:formatCode>0.00%</c:formatCode>
                <c:ptCount val="12"/>
                <c:pt idx="0">
                  <c:v>4.3505511217938175E-3</c:v>
                </c:pt>
                <c:pt idx="1">
                  <c:v>1.0290193249560592E-2</c:v>
                </c:pt>
                <c:pt idx="2">
                  <c:v>2.4339003070866762E-2</c:v>
                </c:pt>
                <c:pt idx="3">
                  <c:v>5.7568119093288822E-2</c:v>
                </c:pt>
                <c:pt idx="4">
                  <c:v>0.13616368453094024</c:v>
                </c:pt>
                <c:pt idx="5">
                  <c:v>0.3220627888675075</c:v>
                </c:pt>
                <c:pt idx="6">
                  <c:v>0.76176287627959693</c:v>
                </c:pt>
                <c:pt idx="7">
                  <c:v>1</c:v>
                </c:pt>
                <c:pt idx="8">
                  <c:v>1</c:v>
                </c:pt>
                <c:pt idx="9">
                  <c:v>1</c:v>
                </c:pt>
                <c:pt idx="10">
                  <c:v>1</c:v>
                </c:pt>
                <c:pt idx="11">
                  <c:v>1</c:v>
                </c:pt>
              </c:numCache>
            </c:numRef>
          </c:yVal>
          <c:smooth val="1"/>
          <c:extLst>
            <c:ext xmlns:c16="http://schemas.microsoft.com/office/drawing/2014/chart" uri="{C3380CC4-5D6E-409C-BE32-E72D297353CC}">
              <c16:uniqueId val="{00000000-A212-FD4B-91B2-E078C10CE857}"/>
            </c:ext>
          </c:extLst>
        </c:ser>
        <c:ser>
          <c:idx val="1"/>
          <c:order val="1"/>
          <c:tx>
            <c:strRef>
              <c:f>'Rock Handling'!$M$1:$M$2</c:f>
              <c:strCache>
                <c:ptCount val="2"/>
                <c:pt idx="0">
                  <c:v>Share weathered</c:v>
                </c:pt>
                <c:pt idx="1">
                  <c:v>Dunite</c:v>
                </c:pt>
              </c:strCache>
            </c:strRef>
          </c:tx>
          <c:spPr>
            <a:ln w="25400" cap="rnd">
              <a:solidFill>
                <a:schemeClr val="accent2"/>
              </a:solidFill>
              <a:round/>
            </a:ln>
            <a:effectLst/>
          </c:spPr>
          <c:marker>
            <c:symbol val="square"/>
            <c:size val="8"/>
            <c:spPr>
              <a:solidFill>
                <a:schemeClr val="bg1"/>
              </a:solidFill>
              <a:ln w="25400">
                <a:solidFill>
                  <a:schemeClr val="accent2"/>
                </a:solidFill>
              </a:ln>
              <a:effectLst/>
            </c:spPr>
          </c:marker>
          <c:xVal>
            <c:numRef>
              <c:f>'Rock Handling'!$F$6:$F$17</c:f>
              <c:numCache>
                <c:formatCode>0.00</c:formatCode>
                <c:ptCount val="12"/>
                <c:pt idx="0">
                  <c:v>125</c:v>
                </c:pt>
                <c:pt idx="1">
                  <c:v>62.5</c:v>
                </c:pt>
                <c:pt idx="2">
                  <c:v>31.25</c:v>
                </c:pt>
                <c:pt idx="3">
                  <c:v>15.625</c:v>
                </c:pt>
                <c:pt idx="4">
                  <c:v>7.8125</c:v>
                </c:pt>
                <c:pt idx="5">
                  <c:v>3.90625</c:v>
                </c:pt>
                <c:pt idx="6">
                  <c:v>1.953125</c:v>
                </c:pt>
                <c:pt idx="7">
                  <c:v>0.9765625</c:v>
                </c:pt>
                <c:pt idx="8">
                  <c:v>0.48828125</c:v>
                </c:pt>
                <c:pt idx="9">
                  <c:v>0.244140625</c:v>
                </c:pt>
                <c:pt idx="10">
                  <c:v>0.1220703125</c:v>
                </c:pt>
                <c:pt idx="11">
                  <c:v>6.103515625E-2</c:v>
                </c:pt>
              </c:numCache>
            </c:numRef>
          </c:xVal>
          <c:yVal>
            <c:numRef>
              <c:f>'Rock Handling'!$M$6:$M$17</c:f>
              <c:numCache>
                <c:formatCode>0.00%</c:formatCode>
                <c:ptCount val="12"/>
                <c:pt idx="0">
                  <c:v>4.8726172564090755E-3</c:v>
                </c:pt>
                <c:pt idx="1">
                  <c:v>1.1525016439507865E-2</c:v>
                </c:pt>
                <c:pt idx="2">
                  <c:v>2.7259683439370772E-2</c:v>
                </c:pt>
                <c:pt idx="3">
                  <c:v>6.4476293384483477E-2</c:v>
                </c:pt>
                <c:pt idx="4">
                  <c:v>0.15250332667465308</c:v>
                </c:pt>
                <c:pt idx="5">
                  <c:v>0.36071032353160842</c:v>
                </c:pt>
                <c:pt idx="6">
                  <c:v>0.85317442143314859</c:v>
                </c:pt>
                <c:pt idx="7">
                  <c:v>1</c:v>
                </c:pt>
                <c:pt idx="8">
                  <c:v>1</c:v>
                </c:pt>
                <c:pt idx="9">
                  <c:v>1</c:v>
                </c:pt>
                <c:pt idx="10">
                  <c:v>1</c:v>
                </c:pt>
                <c:pt idx="11">
                  <c:v>1</c:v>
                </c:pt>
              </c:numCache>
            </c:numRef>
          </c:yVal>
          <c:smooth val="1"/>
          <c:extLst>
            <c:ext xmlns:c16="http://schemas.microsoft.com/office/drawing/2014/chart" uri="{C3380CC4-5D6E-409C-BE32-E72D297353CC}">
              <c16:uniqueId val="{00000001-A212-FD4B-91B2-E078C10CE857}"/>
            </c:ext>
          </c:extLst>
        </c:ser>
        <c:dLbls>
          <c:showLegendKey val="0"/>
          <c:showVal val="0"/>
          <c:showCatName val="0"/>
          <c:showSerName val="0"/>
          <c:showPercent val="0"/>
          <c:showBubbleSize val="0"/>
        </c:dLbls>
        <c:axId val="349611087"/>
        <c:axId val="1900784048"/>
      </c:scatterChart>
      <c:valAx>
        <c:axId val="263475039"/>
        <c:scaling>
          <c:logBase val="10"/>
          <c:orientation val="minMax"/>
          <c:max val="100"/>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Grain Size [μm]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 sourceLinked="0"/>
        <c:majorTickMark val="cross"/>
        <c:minorTickMark val="cross"/>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63217887"/>
        <c:crosses val="autoZero"/>
        <c:crossBetween val="midCat"/>
      </c:valAx>
      <c:valAx>
        <c:axId val="263217887"/>
        <c:scaling>
          <c:orientation val="minMax"/>
          <c:max val="5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u="none" strike="noStrike" kern="1200" baseline="0">
                    <a:solidFill>
                      <a:schemeClr val="tx1"/>
                    </a:solidFill>
                    <a:latin typeface="Arial" panose="020B0604020202020204" pitchFamily="34" charset="0"/>
                    <a:cs typeface="Arial" panose="020B0604020202020204" pitchFamily="34" charset="0"/>
                  </a:rPr>
                  <a:t>Electricity comminution [kWh</a:t>
                </a:r>
                <a:r>
                  <a:rPr lang="en-US" sz="1400" b="1" i="0" u="none" strike="noStrike" kern="1200" baseline="-25000">
                    <a:solidFill>
                      <a:schemeClr val="tx1"/>
                    </a:solidFill>
                    <a:latin typeface="Arial" panose="020B0604020202020204" pitchFamily="34" charset="0"/>
                    <a:cs typeface="Arial" panose="020B0604020202020204" pitchFamily="34" charset="0"/>
                  </a:rPr>
                  <a:t>el</a:t>
                </a:r>
                <a:r>
                  <a:rPr lang="en-US" sz="1400" b="1" i="0" u="none" strike="noStrike" kern="1200" baseline="0">
                    <a:solidFill>
                      <a:schemeClr val="tx1"/>
                    </a:solidFill>
                    <a:latin typeface="Arial" panose="020B0604020202020204" pitchFamily="34" charset="0"/>
                    <a:cs typeface="Arial" panose="020B0604020202020204" pitchFamily="34" charset="0"/>
                  </a:rPr>
                  <a:t>/tCO</a:t>
                </a:r>
                <a:r>
                  <a:rPr lang="en-US" sz="1400" b="1" i="0" u="none" strike="noStrike" kern="1200" baseline="-25000">
                    <a:solidFill>
                      <a:schemeClr val="tx1"/>
                    </a:solidFill>
                    <a:latin typeface="Arial" panose="020B0604020202020204" pitchFamily="34" charset="0"/>
                    <a:cs typeface="Arial" panose="020B0604020202020204" pitchFamily="34" charset="0"/>
                  </a:rPr>
                  <a:t>2</a:t>
                </a:r>
                <a:r>
                  <a:rPr lang="en-US" sz="1400" b="1" i="0" u="none" strike="noStrike" kern="1200" baseline="0">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63475039"/>
        <c:crosses val="max"/>
        <c:crossBetween val="midCat"/>
        <c:majorUnit val="100"/>
      </c:valAx>
      <c:valAx>
        <c:axId val="1900784048"/>
        <c:scaling>
          <c:orientation val="minMax"/>
          <c:max val="1"/>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u="none" strike="noStrike" kern="1200" baseline="0">
                    <a:solidFill>
                      <a:schemeClr val="tx1"/>
                    </a:solidFill>
                    <a:latin typeface="Arial" panose="020B0604020202020204" pitchFamily="34" charset="0"/>
                    <a:cs typeface="Arial" panose="020B0604020202020204" pitchFamily="34" charset="0"/>
                  </a:rPr>
                  <a:t>Gravimetric share of rock weathered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9611087"/>
        <c:crossesAt val="0.1"/>
        <c:crossBetween val="midCat"/>
        <c:majorUnit val="0.2"/>
      </c:valAx>
      <c:valAx>
        <c:axId val="349611087"/>
        <c:scaling>
          <c:logBase val="10"/>
          <c:orientation val="minMax"/>
          <c:max val="100"/>
          <c:min val="0.1"/>
        </c:scaling>
        <c:delete val="1"/>
        <c:axPos val="t"/>
        <c:numFmt formatCode="0.00" sourceLinked="1"/>
        <c:majorTickMark val="out"/>
        <c:minorTickMark val="none"/>
        <c:tickLblPos val="nextTo"/>
        <c:crossAx val="1900784048"/>
        <c:crosses val="max"/>
        <c:crossBetween val="midCat"/>
      </c:valAx>
      <c:spPr>
        <a:noFill/>
        <a:ln w="19050">
          <a:solidFill>
            <a:schemeClr val="tx1"/>
          </a:solidFill>
        </a:ln>
        <a:effectLst/>
      </c:spPr>
    </c:plotArea>
    <c:legend>
      <c:legendPos val="b"/>
      <c:layout>
        <c:manualLayout>
          <c:xMode val="edge"/>
          <c:yMode val="edge"/>
          <c:x val="4.2030089014728385E-2"/>
          <c:y val="0.85812060185185191"/>
          <c:w val="0.92421166308102232"/>
          <c:h val="0.1141016203703703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OverviewResults!$E$35</c:f>
              <c:strCache>
                <c:ptCount val="1"/>
                <c:pt idx="0">
                  <c:v>Feedstock handling</c:v>
                </c:pt>
              </c:strCache>
            </c:strRef>
          </c:tx>
          <c:spPr>
            <a:solidFill>
              <a:schemeClr val="accent1"/>
            </a:solidFill>
            <a:ln>
              <a:noFill/>
            </a:ln>
            <a:effectLst/>
          </c:spPr>
          <c:invertIfNegative val="0"/>
          <c:cat>
            <c:multiLvlStrRef>
              <c:f>OverviewResults!$C$36:$D$53</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OverviewResults!$E$36:$E$53</c:f>
              <c:numCache>
                <c:formatCode>0.00</c:formatCode>
                <c:ptCount val="18"/>
                <c:pt idx="0">
                  <c:v>0</c:v>
                </c:pt>
                <c:pt idx="1">
                  <c:v>0</c:v>
                </c:pt>
                <c:pt idx="2">
                  <c:v>1153.5837712298141</c:v>
                </c:pt>
                <c:pt idx="3">
                  <c:v>904.77158527828567</c:v>
                </c:pt>
                <c:pt idx="4">
                  <c:v>0</c:v>
                </c:pt>
                <c:pt idx="5">
                  <c:v>1153.5837712298141</c:v>
                </c:pt>
                <c:pt idx="6">
                  <c:v>0</c:v>
                </c:pt>
                <c:pt idx="7">
                  <c:v>0</c:v>
                </c:pt>
                <c:pt idx="8">
                  <c:v>1114.7209735712654</c:v>
                </c:pt>
                <c:pt idx="9">
                  <c:v>874.29095966373768</c:v>
                </c:pt>
                <c:pt idx="10">
                  <c:v>0</c:v>
                </c:pt>
                <c:pt idx="11">
                  <c:v>1114.7209735712654</c:v>
                </c:pt>
                <c:pt idx="12">
                  <c:v>0</c:v>
                </c:pt>
                <c:pt idx="13">
                  <c:v>0</c:v>
                </c:pt>
                <c:pt idx="14">
                  <c:v>1114.5370952326743</c:v>
                </c:pt>
                <c:pt idx="15">
                  <c:v>874.14674135896041</c:v>
                </c:pt>
                <c:pt idx="16">
                  <c:v>0</c:v>
                </c:pt>
                <c:pt idx="17">
                  <c:v>1114.5370952326743</c:v>
                </c:pt>
              </c:numCache>
            </c:numRef>
          </c:val>
          <c:extLst>
            <c:ext xmlns:c16="http://schemas.microsoft.com/office/drawing/2014/chart" uri="{C3380CC4-5D6E-409C-BE32-E72D297353CC}">
              <c16:uniqueId val="{00000000-6242-0C4B-AF65-3C7CC2B359F8}"/>
            </c:ext>
          </c:extLst>
        </c:ser>
        <c:ser>
          <c:idx val="1"/>
          <c:order val="1"/>
          <c:tx>
            <c:strRef>
              <c:f>OverviewResults!$F$35</c:f>
              <c:strCache>
                <c:ptCount val="1"/>
                <c:pt idx="0">
                  <c:v>Carbonation process</c:v>
                </c:pt>
              </c:strCache>
            </c:strRef>
          </c:tx>
          <c:spPr>
            <a:solidFill>
              <a:schemeClr val="accent2"/>
            </a:solidFill>
            <a:ln>
              <a:noFill/>
            </a:ln>
            <a:effectLst/>
          </c:spPr>
          <c:invertIfNegative val="0"/>
          <c:cat>
            <c:multiLvlStrRef>
              <c:f>OverviewResults!$C$36:$D$53</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OverviewResults!$F$36:$F$53</c:f>
              <c:numCache>
                <c:formatCode>0.00</c:formatCode>
                <c:ptCount val="18"/>
                <c:pt idx="0">
                  <c:v>79.634092069342387</c:v>
                </c:pt>
                <c:pt idx="1">
                  <c:v>79.634092069342387</c:v>
                </c:pt>
                <c:pt idx="2">
                  <c:v>1003.1683542624104</c:v>
                </c:pt>
                <c:pt idx="3">
                  <c:v>875.97501276276614</c:v>
                </c:pt>
                <c:pt idx="4">
                  <c:v>1104.9230274621254</c:v>
                </c:pt>
                <c:pt idx="5">
                  <c:v>0</c:v>
                </c:pt>
                <c:pt idx="6">
                  <c:v>79.634092069342387</c:v>
                </c:pt>
                <c:pt idx="7">
                  <c:v>79.634092069342387</c:v>
                </c:pt>
                <c:pt idx="8">
                  <c:v>1003.1683542624104</c:v>
                </c:pt>
                <c:pt idx="9">
                  <c:v>875.97501276276614</c:v>
                </c:pt>
                <c:pt idx="10">
                  <c:v>1104.9230274621254</c:v>
                </c:pt>
                <c:pt idx="11">
                  <c:v>0</c:v>
                </c:pt>
                <c:pt idx="12">
                  <c:v>79.634092069342387</c:v>
                </c:pt>
                <c:pt idx="13">
                  <c:v>79.634092069342387</c:v>
                </c:pt>
                <c:pt idx="14">
                  <c:v>1003.1683542624104</c:v>
                </c:pt>
                <c:pt idx="15">
                  <c:v>875.97501276276614</c:v>
                </c:pt>
                <c:pt idx="16">
                  <c:v>1104.9230274621254</c:v>
                </c:pt>
                <c:pt idx="17">
                  <c:v>0</c:v>
                </c:pt>
              </c:numCache>
            </c:numRef>
          </c:val>
          <c:extLst>
            <c:ext xmlns:c16="http://schemas.microsoft.com/office/drawing/2014/chart" uri="{C3380CC4-5D6E-409C-BE32-E72D297353CC}">
              <c16:uniqueId val="{00000001-6242-0C4B-AF65-3C7CC2B359F8}"/>
            </c:ext>
          </c:extLst>
        </c:ser>
        <c:ser>
          <c:idx val="2"/>
          <c:order val="2"/>
          <c:tx>
            <c:strRef>
              <c:f>OverviewResults!$G$35</c:f>
              <c:strCache>
                <c:ptCount val="1"/>
                <c:pt idx="0">
                  <c:v>DAC</c:v>
                </c:pt>
              </c:strCache>
            </c:strRef>
          </c:tx>
          <c:spPr>
            <a:solidFill>
              <a:schemeClr val="accent3"/>
            </a:solidFill>
            <a:ln>
              <a:noFill/>
            </a:ln>
            <a:effectLst/>
          </c:spPr>
          <c:invertIfNegative val="0"/>
          <c:cat>
            <c:multiLvlStrRef>
              <c:f>OverviewResults!$C$36:$D$53</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OverviewResults!$G$36:$G$53</c:f>
              <c:numCache>
                <c:formatCode>0.00</c:formatCode>
                <c:ptCount val="18"/>
                <c:pt idx="0">
                  <c:v>1016.9322714101978</c:v>
                </c:pt>
                <c:pt idx="1">
                  <c:v>1016.9322714101978</c:v>
                </c:pt>
                <c:pt idx="2">
                  <c:v>1016.9322714101978</c:v>
                </c:pt>
                <c:pt idx="3">
                  <c:v>1016.9322714101978</c:v>
                </c:pt>
                <c:pt idx="4">
                  <c:v>1016.9322714101978</c:v>
                </c:pt>
                <c:pt idx="5">
                  <c:v>0</c:v>
                </c:pt>
                <c:pt idx="6">
                  <c:v>669.42820734724319</c:v>
                </c:pt>
                <c:pt idx="7">
                  <c:v>669.42820734724319</c:v>
                </c:pt>
                <c:pt idx="8">
                  <c:v>669.42820734724319</c:v>
                </c:pt>
                <c:pt idx="9">
                  <c:v>669.42820734724319</c:v>
                </c:pt>
                <c:pt idx="10">
                  <c:v>669.42820734724319</c:v>
                </c:pt>
                <c:pt idx="11">
                  <c:v>0</c:v>
                </c:pt>
                <c:pt idx="12">
                  <c:v>615.05103529066696</c:v>
                </c:pt>
                <c:pt idx="13">
                  <c:v>615.05103529066696</c:v>
                </c:pt>
                <c:pt idx="14">
                  <c:v>615.05103529066696</c:v>
                </c:pt>
                <c:pt idx="15">
                  <c:v>615.05103529066696</c:v>
                </c:pt>
                <c:pt idx="16">
                  <c:v>615.05103529066696</c:v>
                </c:pt>
                <c:pt idx="17">
                  <c:v>0</c:v>
                </c:pt>
              </c:numCache>
            </c:numRef>
          </c:val>
          <c:extLst>
            <c:ext xmlns:c16="http://schemas.microsoft.com/office/drawing/2014/chart" uri="{C3380CC4-5D6E-409C-BE32-E72D297353CC}">
              <c16:uniqueId val="{00000002-6242-0C4B-AF65-3C7CC2B359F8}"/>
            </c:ext>
          </c:extLst>
        </c:ser>
        <c:dLbls>
          <c:showLegendKey val="0"/>
          <c:showVal val="0"/>
          <c:showCatName val="0"/>
          <c:showSerName val="0"/>
          <c:showPercent val="0"/>
          <c:showBubbleSize val="0"/>
        </c:dLbls>
        <c:gapWidth val="150"/>
        <c:overlap val="100"/>
        <c:axId val="1227842191"/>
        <c:axId val="1367331327"/>
      </c:barChart>
      <c:catAx>
        <c:axId val="1227842191"/>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Narrow" panose="020B0604020202020204" pitchFamily="34" charset="0"/>
                <a:ea typeface="+mn-ea"/>
                <a:cs typeface="Arial Narrow" panose="020B0604020202020204" pitchFamily="34" charset="0"/>
              </a:defRPr>
            </a:pPr>
            <a:endParaRPr lang="en-US"/>
          </a:p>
        </c:txPr>
        <c:crossAx val="1367331327"/>
        <c:crosses val="autoZero"/>
        <c:auto val="1"/>
        <c:lblAlgn val="ctr"/>
        <c:lblOffset val="100"/>
        <c:noMultiLvlLbl val="0"/>
      </c:catAx>
      <c:valAx>
        <c:axId val="1367331327"/>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Primary energy demand [kWh/tCO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27842191"/>
        <c:crosses val="autoZero"/>
        <c:crossBetween val="between"/>
        <c:majorUnit val="1000"/>
        <c:minorUnit val="500"/>
      </c:valAx>
      <c:spPr>
        <a:noFill/>
        <a:ln w="19050">
          <a:solidFill>
            <a:schemeClr val="tx1"/>
          </a:solidFill>
        </a:ln>
        <a:effectLst/>
      </c:spPr>
    </c:plotArea>
    <c:legend>
      <c:legendPos val="t"/>
      <c:layout>
        <c:manualLayout>
          <c:xMode val="edge"/>
          <c:yMode val="edge"/>
          <c:x val="0.14324974252449338"/>
          <c:y val="5.4341921940182523E-2"/>
          <c:w val="0.85420963695668428"/>
          <c:h val="6.4858961793540157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OverviewResults!$E$59</c:f>
              <c:strCache>
                <c:ptCount val="1"/>
                <c:pt idx="0">
                  <c:v>Heat LT</c:v>
                </c:pt>
              </c:strCache>
            </c:strRef>
          </c:tx>
          <c:spPr>
            <a:solidFill>
              <a:srgbClr val="FFC000"/>
            </a:solidFill>
            <a:ln>
              <a:noFill/>
            </a:ln>
            <a:effectLst/>
          </c:spPr>
          <c:invertIfNegative val="0"/>
          <c:cat>
            <c:multiLvlStrRef>
              <c:f>OverviewResults!$C$60:$D$77</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OverviewResults!$E$60:$E$77</c:f>
              <c:numCache>
                <c:formatCode>0.00</c:formatCode>
                <c:ptCount val="18"/>
                <c:pt idx="0">
                  <c:v>1500</c:v>
                </c:pt>
                <c:pt idx="1">
                  <c:v>1500</c:v>
                </c:pt>
                <c:pt idx="2">
                  <c:v>1500</c:v>
                </c:pt>
                <c:pt idx="3">
                  <c:v>1500</c:v>
                </c:pt>
                <c:pt idx="4">
                  <c:v>1500</c:v>
                </c:pt>
                <c:pt idx="5">
                  <c:v>0</c:v>
                </c:pt>
                <c:pt idx="6">
                  <c:v>1102</c:v>
                </c:pt>
                <c:pt idx="7">
                  <c:v>1102</c:v>
                </c:pt>
                <c:pt idx="8">
                  <c:v>1102</c:v>
                </c:pt>
                <c:pt idx="9">
                  <c:v>1102</c:v>
                </c:pt>
                <c:pt idx="10">
                  <c:v>1102</c:v>
                </c:pt>
                <c:pt idx="11">
                  <c:v>0</c:v>
                </c:pt>
                <c:pt idx="12">
                  <c:v>1102</c:v>
                </c:pt>
                <c:pt idx="13">
                  <c:v>1102</c:v>
                </c:pt>
                <c:pt idx="14">
                  <c:v>1102</c:v>
                </c:pt>
                <c:pt idx="15">
                  <c:v>1102</c:v>
                </c:pt>
                <c:pt idx="16">
                  <c:v>1102</c:v>
                </c:pt>
                <c:pt idx="17">
                  <c:v>0</c:v>
                </c:pt>
              </c:numCache>
            </c:numRef>
          </c:val>
          <c:extLst>
            <c:ext xmlns:c16="http://schemas.microsoft.com/office/drawing/2014/chart" uri="{C3380CC4-5D6E-409C-BE32-E72D297353CC}">
              <c16:uniqueId val="{00000000-A597-2A4B-87DE-5D8B4CCA5054}"/>
            </c:ext>
          </c:extLst>
        </c:ser>
        <c:ser>
          <c:idx val="1"/>
          <c:order val="1"/>
          <c:tx>
            <c:strRef>
              <c:f>OverviewResults!$F$59</c:f>
              <c:strCache>
                <c:ptCount val="1"/>
                <c:pt idx="0">
                  <c:v>Heat MT</c:v>
                </c:pt>
              </c:strCache>
            </c:strRef>
          </c:tx>
          <c:spPr>
            <a:solidFill>
              <a:srgbClr val="FF0000"/>
            </a:solidFill>
            <a:ln>
              <a:noFill/>
            </a:ln>
            <a:effectLst/>
          </c:spPr>
          <c:invertIfNegative val="0"/>
          <c:cat>
            <c:multiLvlStrRef>
              <c:f>OverviewResults!$C$60:$D$77</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OverviewResults!$F$60:$F$77</c:f>
              <c:numCache>
                <c:formatCode>0.00</c:formatCode>
                <c:ptCount val="18"/>
                <c:pt idx="0">
                  <c:v>0</c:v>
                </c:pt>
                <c:pt idx="1">
                  <c:v>0</c:v>
                </c:pt>
                <c:pt idx="2">
                  <c:v>452</c:v>
                </c:pt>
                <c:pt idx="3">
                  <c:v>103</c:v>
                </c:pt>
                <c:pt idx="4">
                  <c:v>407</c:v>
                </c:pt>
                <c:pt idx="5">
                  <c:v>0</c:v>
                </c:pt>
                <c:pt idx="6">
                  <c:v>0</c:v>
                </c:pt>
                <c:pt idx="7">
                  <c:v>0</c:v>
                </c:pt>
                <c:pt idx="8">
                  <c:v>452</c:v>
                </c:pt>
                <c:pt idx="9">
                  <c:v>103</c:v>
                </c:pt>
                <c:pt idx="10">
                  <c:v>407</c:v>
                </c:pt>
                <c:pt idx="11">
                  <c:v>0</c:v>
                </c:pt>
                <c:pt idx="12">
                  <c:v>0</c:v>
                </c:pt>
                <c:pt idx="13">
                  <c:v>0</c:v>
                </c:pt>
                <c:pt idx="14">
                  <c:v>452</c:v>
                </c:pt>
                <c:pt idx="15">
                  <c:v>103</c:v>
                </c:pt>
                <c:pt idx="16">
                  <c:v>407</c:v>
                </c:pt>
                <c:pt idx="17">
                  <c:v>0</c:v>
                </c:pt>
              </c:numCache>
            </c:numRef>
          </c:val>
          <c:extLst>
            <c:ext xmlns:c16="http://schemas.microsoft.com/office/drawing/2014/chart" uri="{C3380CC4-5D6E-409C-BE32-E72D297353CC}">
              <c16:uniqueId val="{00000001-A597-2A4B-87DE-5D8B4CCA5054}"/>
            </c:ext>
          </c:extLst>
        </c:ser>
        <c:ser>
          <c:idx val="2"/>
          <c:order val="2"/>
          <c:tx>
            <c:strRef>
              <c:f>OverviewResults!$G$59</c:f>
              <c:strCache>
                <c:ptCount val="1"/>
                <c:pt idx="0">
                  <c:v>Electricity</c:v>
                </c:pt>
              </c:strCache>
            </c:strRef>
          </c:tx>
          <c:spPr>
            <a:solidFill>
              <a:srgbClr val="00B050"/>
            </a:solidFill>
            <a:ln>
              <a:noFill/>
            </a:ln>
            <a:effectLst/>
          </c:spPr>
          <c:invertIfNegative val="0"/>
          <c:cat>
            <c:multiLvlStrRef>
              <c:f>OverviewResults!$C$60:$D$77</c:f>
              <c:multiLvlStrCache>
                <c:ptCount val="18"/>
                <c:lvl>
                  <c:pt idx="0">
                    <c:v>in-situ, onshore</c:v>
                  </c:pt>
                  <c:pt idx="1">
                    <c:v>in-situ, offshore</c:v>
                  </c:pt>
                  <c:pt idx="2">
                    <c:v>ex-situ, serpentine</c:v>
                  </c:pt>
                  <c:pt idx="3">
                    <c:v>ex-situ, olivine</c:v>
                  </c:pt>
                  <c:pt idx="4">
                    <c:v>ex-situ, waste</c:v>
                  </c:pt>
                  <c:pt idx="5">
                    <c:v>EW</c:v>
                  </c:pt>
                  <c:pt idx="6">
                    <c:v>in-situ, onshore</c:v>
                  </c:pt>
                  <c:pt idx="7">
                    <c:v>in-situ, offshore</c:v>
                  </c:pt>
                  <c:pt idx="8">
                    <c:v>ex-situ, serpentine</c:v>
                  </c:pt>
                  <c:pt idx="9">
                    <c:v>ex-situ, olivine</c:v>
                  </c:pt>
                  <c:pt idx="10">
                    <c:v>ex-situ, waste</c:v>
                  </c:pt>
                  <c:pt idx="11">
                    <c:v>EW</c:v>
                  </c:pt>
                  <c:pt idx="12">
                    <c:v>in-situ, onshore</c:v>
                  </c:pt>
                  <c:pt idx="13">
                    <c:v>in-situ, offshore</c:v>
                  </c:pt>
                  <c:pt idx="14">
                    <c:v>ex-situ, serpentine</c:v>
                  </c:pt>
                  <c:pt idx="15">
                    <c:v>ex-situ, olivine</c:v>
                  </c:pt>
                  <c:pt idx="16">
                    <c:v>ex-situ, waste</c:v>
                  </c:pt>
                  <c:pt idx="17">
                    <c:v>EW</c:v>
                  </c:pt>
                </c:lvl>
                <c:lvl>
                  <c:pt idx="0">
                    <c:v>2030</c:v>
                  </c:pt>
                  <c:pt idx="6">
                    <c:v>2050</c:v>
                  </c:pt>
                  <c:pt idx="12">
                    <c:v>2070</c:v>
                  </c:pt>
                </c:lvl>
              </c:multiLvlStrCache>
            </c:multiLvlStrRef>
          </c:cat>
          <c:val>
            <c:numRef>
              <c:f>OverviewResults!$G$60:$G$77</c:f>
              <c:numCache>
                <c:formatCode>0.00</c:formatCode>
                <c:ptCount val="18"/>
                <c:pt idx="0">
                  <c:v>297</c:v>
                </c:pt>
                <c:pt idx="1">
                  <c:v>297</c:v>
                </c:pt>
                <c:pt idx="2">
                  <c:v>1722.9958999999999</c:v>
                </c:pt>
                <c:pt idx="3">
                  <c:v>1732.0360000000001</c:v>
                </c:pt>
                <c:pt idx="4">
                  <c:v>817</c:v>
                </c:pt>
                <c:pt idx="5">
                  <c:v>1042.9958999999999</c:v>
                </c:pt>
                <c:pt idx="6">
                  <c:v>254</c:v>
                </c:pt>
                <c:pt idx="7">
                  <c:v>254</c:v>
                </c:pt>
                <c:pt idx="8">
                  <c:v>1679.9958999999999</c:v>
                </c:pt>
                <c:pt idx="9">
                  <c:v>1689.0360000000001</c:v>
                </c:pt>
                <c:pt idx="10">
                  <c:v>774</c:v>
                </c:pt>
                <c:pt idx="11">
                  <c:v>1042.9958999999999</c:v>
                </c:pt>
                <c:pt idx="12">
                  <c:v>254</c:v>
                </c:pt>
                <c:pt idx="13">
                  <c:v>254</c:v>
                </c:pt>
                <c:pt idx="14">
                  <c:v>1679.9958999999999</c:v>
                </c:pt>
                <c:pt idx="15">
                  <c:v>1689.0360000000001</c:v>
                </c:pt>
                <c:pt idx="16">
                  <c:v>774</c:v>
                </c:pt>
                <c:pt idx="17">
                  <c:v>1042.9958999999999</c:v>
                </c:pt>
              </c:numCache>
            </c:numRef>
          </c:val>
          <c:extLst>
            <c:ext xmlns:c16="http://schemas.microsoft.com/office/drawing/2014/chart" uri="{C3380CC4-5D6E-409C-BE32-E72D297353CC}">
              <c16:uniqueId val="{00000002-A597-2A4B-87DE-5D8B4CCA5054}"/>
            </c:ext>
          </c:extLst>
        </c:ser>
        <c:dLbls>
          <c:showLegendKey val="0"/>
          <c:showVal val="0"/>
          <c:showCatName val="0"/>
          <c:showSerName val="0"/>
          <c:showPercent val="0"/>
          <c:showBubbleSize val="0"/>
        </c:dLbls>
        <c:gapWidth val="150"/>
        <c:overlap val="100"/>
        <c:axId val="1227842191"/>
        <c:axId val="1367331327"/>
      </c:barChart>
      <c:catAx>
        <c:axId val="1227842191"/>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Narrow" panose="020B0604020202020204" pitchFamily="34" charset="0"/>
                <a:ea typeface="+mn-ea"/>
                <a:cs typeface="Arial Narrow" panose="020B0604020202020204" pitchFamily="34" charset="0"/>
              </a:defRPr>
            </a:pPr>
            <a:endParaRPr lang="en-US"/>
          </a:p>
        </c:txPr>
        <c:crossAx val="1367331327"/>
        <c:crosses val="autoZero"/>
        <c:auto val="1"/>
        <c:lblAlgn val="ctr"/>
        <c:lblOffset val="100"/>
        <c:noMultiLvlLbl val="0"/>
      </c:catAx>
      <c:valAx>
        <c:axId val="1367331327"/>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Final energy demand [kWh/tCO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in"/>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27842191"/>
        <c:crosses val="autoZero"/>
        <c:crossBetween val="between"/>
        <c:majorUnit val="1000"/>
        <c:minorUnit val="500"/>
      </c:valAx>
      <c:spPr>
        <a:noFill/>
        <a:ln w="19050">
          <a:solidFill>
            <a:schemeClr val="tx1"/>
          </a:solidFill>
        </a:ln>
        <a:effectLst/>
      </c:spPr>
    </c:plotArea>
    <c:legend>
      <c:legendPos val="t"/>
      <c:layout>
        <c:manualLayout>
          <c:xMode val="edge"/>
          <c:yMode val="edge"/>
          <c:x val="0.34697629009444769"/>
          <c:y val="5.7360903967910222E-2"/>
          <c:w val="0.53366521780855558"/>
          <c:h val="6.4858946375518284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OverviewResults!$I$104:$I$108</c:f>
              <c:numCache>
                <c:formatCode>General</c:formatCode>
                <c:ptCount val="5"/>
                <c:pt idx="0">
                  <c:v>100</c:v>
                </c:pt>
                <c:pt idx="1">
                  <c:v>200</c:v>
                </c:pt>
                <c:pt idx="2">
                  <c:v>300</c:v>
                </c:pt>
                <c:pt idx="3">
                  <c:v>400</c:v>
                </c:pt>
                <c:pt idx="4">
                  <c:v>500</c:v>
                </c:pt>
              </c:numCache>
            </c:numRef>
          </c:xVal>
          <c:yVal>
            <c:numRef>
              <c:f>OverviewResults!$J$104:$J$108</c:f>
              <c:numCache>
                <c:formatCode>General</c:formatCode>
                <c:ptCount val="5"/>
                <c:pt idx="0">
                  <c:v>691.09590000000003</c:v>
                </c:pt>
                <c:pt idx="1">
                  <c:v>1042.9958999999999</c:v>
                </c:pt>
                <c:pt idx="2">
                  <c:v>1394.8959</c:v>
                </c:pt>
                <c:pt idx="3">
                  <c:v>1746.7959000000001</c:v>
                </c:pt>
                <c:pt idx="4">
                  <c:v>2098.6958999999997</c:v>
                </c:pt>
              </c:numCache>
            </c:numRef>
          </c:yVal>
          <c:smooth val="0"/>
          <c:extLst>
            <c:ext xmlns:c16="http://schemas.microsoft.com/office/drawing/2014/chart" uri="{C3380CC4-5D6E-409C-BE32-E72D297353CC}">
              <c16:uniqueId val="{00000000-DC3E-9945-B33C-ABBCDC81E772}"/>
            </c:ext>
          </c:extLst>
        </c:ser>
        <c:dLbls>
          <c:showLegendKey val="0"/>
          <c:showVal val="0"/>
          <c:showCatName val="0"/>
          <c:showSerName val="0"/>
          <c:showPercent val="0"/>
          <c:showBubbleSize val="0"/>
        </c:dLbls>
        <c:axId val="1106947215"/>
        <c:axId val="1107207823"/>
      </c:scatterChart>
      <c:valAx>
        <c:axId val="1106947215"/>
        <c:scaling>
          <c:orientation val="minMax"/>
          <c:max val="500"/>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Rock</a:t>
                </a:r>
                <a:r>
                  <a:rPr lang="en-US" sz="1400" b="1" baseline="0">
                    <a:solidFill>
                      <a:schemeClr val="tx1"/>
                    </a:solidFill>
                    <a:latin typeface="Arial" panose="020B0604020202020204" pitchFamily="34" charset="0"/>
                    <a:cs typeface="Arial" panose="020B0604020202020204" pitchFamily="34" charset="0"/>
                  </a:rPr>
                  <a:t> transportation distance [km]</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07207823"/>
        <c:crosses val="autoZero"/>
        <c:crossBetween val="midCat"/>
      </c:valAx>
      <c:valAx>
        <c:axId val="11072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solidFill>
                      <a:schemeClr val="tx1"/>
                    </a:solidFill>
                    <a:latin typeface="Arial" panose="020B0604020202020204" pitchFamily="34" charset="0"/>
                    <a:cs typeface="Arial" panose="020B0604020202020204" pitchFamily="34" charset="0"/>
                  </a:rPr>
                  <a:t>Totel electiricity</a:t>
                </a:r>
                <a:r>
                  <a:rPr lang="en-US" sz="1400" b="1" baseline="0">
                    <a:solidFill>
                      <a:schemeClr val="tx1"/>
                    </a:solidFill>
                    <a:latin typeface="Arial" panose="020B0604020202020204" pitchFamily="34" charset="0"/>
                    <a:cs typeface="Arial" panose="020B0604020202020204" pitchFamily="34" charset="0"/>
                  </a:rPr>
                  <a:t> demand for EW [kWh/tCO</a:t>
                </a:r>
                <a:r>
                  <a:rPr lang="en-US" sz="1400" b="1" baseline="-25000">
                    <a:solidFill>
                      <a:schemeClr val="tx1"/>
                    </a:solidFill>
                    <a:latin typeface="Arial" panose="020B0604020202020204" pitchFamily="34" charset="0"/>
                    <a:cs typeface="Arial" panose="020B0604020202020204" pitchFamily="34" charset="0"/>
                  </a:rPr>
                  <a:t>2</a:t>
                </a:r>
                <a:r>
                  <a:rPr lang="en-US" sz="1400" b="1" baseline="0">
                    <a:solidFill>
                      <a:schemeClr val="tx1"/>
                    </a:solidFill>
                    <a:latin typeface="Arial" panose="020B0604020202020204" pitchFamily="34" charset="0"/>
                    <a:cs typeface="Arial" panose="020B0604020202020204" pitchFamily="34" charset="0"/>
                  </a:rPr>
                  <a:t>]</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06947215"/>
        <c:crosses val="autoZero"/>
        <c:crossBetween val="midCat"/>
      </c:valAx>
      <c:spPr>
        <a:noFill/>
        <a:ln w="1905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Capex</c:v>
          </c:tx>
          <c:spPr>
            <a:ln w="19050" cap="rnd">
              <a:solidFill>
                <a:schemeClr val="accent1"/>
              </a:solidFill>
              <a:round/>
            </a:ln>
            <a:effectLst/>
          </c:spPr>
          <c:marker>
            <c:symbol val="none"/>
          </c:marker>
          <c:xVal>
            <c:numRef>
              <c:f>MININ!$B$52:$B$56</c:f>
              <c:numCache>
                <c:formatCode>General</c:formatCode>
                <c:ptCount val="5"/>
                <c:pt idx="0">
                  <c:v>0.5</c:v>
                </c:pt>
                <c:pt idx="1">
                  <c:v>0.75</c:v>
                </c:pt>
                <c:pt idx="2">
                  <c:v>1</c:v>
                </c:pt>
                <c:pt idx="3">
                  <c:v>1.25</c:v>
                </c:pt>
                <c:pt idx="4">
                  <c:v>1.5</c:v>
                </c:pt>
              </c:numCache>
            </c:numRef>
          </c:xVal>
          <c:yVal>
            <c:numRef>
              <c:f>MININ!$E$52:$E$56</c:f>
              <c:numCache>
                <c:formatCode>General</c:formatCode>
                <c:ptCount val="5"/>
                <c:pt idx="0">
                  <c:v>0.99069591018353587</c:v>
                </c:pt>
                <c:pt idx="1">
                  <c:v>0.99534795509176799</c:v>
                </c:pt>
                <c:pt idx="2">
                  <c:v>1</c:v>
                </c:pt>
                <c:pt idx="3">
                  <c:v>1.0046520449082319</c:v>
                </c:pt>
                <c:pt idx="4">
                  <c:v>1.009304089816464</c:v>
                </c:pt>
              </c:numCache>
            </c:numRef>
          </c:yVal>
          <c:smooth val="1"/>
          <c:extLst>
            <c:ext xmlns:c16="http://schemas.microsoft.com/office/drawing/2014/chart" uri="{C3380CC4-5D6E-409C-BE32-E72D297353CC}">
              <c16:uniqueId val="{00000000-7290-C84D-9C11-D40EC4B78A85}"/>
            </c:ext>
          </c:extLst>
        </c:ser>
        <c:ser>
          <c:idx val="2"/>
          <c:order val="1"/>
          <c:tx>
            <c:v>OpexFix</c:v>
          </c:tx>
          <c:spPr>
            <a:ln w="19050" cap="rnd">
              <a:solidFill>
                <a:schemeClr val="accent3"/>
              </a:solidFill>
              <a:round/>
            </a:ln>
            <a:effectLst/>
          </c:spPr>
          <c:marker>
            <c:symbol val="none"/>
          </c:marker>
          <c:xVal>
            <c:numRef>
              <c:f>MININ!$B$52:$B$56</c:f>
              <c:numCache>
                <c:formatCode>General</c:formatCode>
                <c:ptCount val="5"/>
                <c:pt idx="0">
                  <c:v>0.5</c:v>
                </c:pt>
                <c:pt idx="1">
                  <c:v>0.75</c:v>
                </c:pt>
                <c:pt idx="2">
                  <c:v>1</c:v>
                </c:pt>
                <c:pt idx="3">
                  <c:v>1.25</c:v>
                </c:pt>
                <c:pt idx="4">
                  <c:v>1.5</c:v>
                </c:pt>
              </c:numCache>
            </c:numRef>
          </c:xVal>
          <c:yVal>
            <c:numRef>
              <c:f>MININ!$K$52:$K$56</c:f>
              <c:numCache>
                <c:formatCode>General</c:formatCode>
                <c:ptCount val="5"/>
                <c:pt idx="0">
                  <c:v>0.99468402500804909</c:v>
                </c:pt>
                <c:pt idx="1">
                  <c:v>0.99734201250402443</c:v>
                </c:pt>
                <c:pt idx="2">
                  <c:v>1</c:v>
                </c:pt>
                <c:pt idx="3">
                  <c:v>1.0026579874959753</c:v>
                </c:pt>
                <c:pt idx="4">
                  <c:v>1.0053159749919509</c:v>
                </c:pt>
              </c:numCache>
            </c:numRef>
          </c:yVal>
          <c:smooth val="1"/>
          <c:extLst>
            <c:ext xmlns:c16="http://schemas.microsoft.com/office/drawing/2014/chart" uri="{C3380CC4-5D6E-409C-BE32-E72D297353CC}">
              <c16:uniqueId val="{00000002-7290-C84D-9C11-D40EC4B78A85}"/>
            </c:ext>
          </c:extLst>
        </c:ser>
        <c:ser>
          <c:idx val="4"/>
          <c:order val="2"/>
          <c:tx>
            <c:v>Lifetime</c:v>
          </c:tx>
          <c:spPr>
            <a:ln w="19050" cap="rnd">
              <a:solidFill>
                <a:schemeClr val="accent5"/>
              </a:solidFill>
              <a:round/>
            </a:ln>
            <a:effectLst/>
          </c:spPr>
          <c:marker>
            <c:symbol val="none"/>
          </c:marker>
          <c:xVal>
            <c:numRef>
              <c:f>MININ!$B$52:$B$56</c:f>
              <c:numCache>
                <c:formatCode>General</c:formatCode>
                <c:ptCount val="5"/>
                <c:pt idx="0">
                  <c:v>0.5</c:v>
                </c:pt>
                <c:pt idx="1">
                  <c:v>0.75</c:v>
                </c:pt>
                <c:pt idx="2">
                  <c:v>1</c:v>
                </c:pt>
                <c:pt idx="3">
                  <c:v>1.25</c:v>
                </c:pt>
                <c:pt idx="4">
                  <c:v>1.5</c:v>
                </c:pt>
              </c:numCache>
            </c:numRef>
          </c:xVal>
          <c:yVal>
            <c:numRef>
              <c:f>MININ!$Q$52:$Q$56</c:f>
              <c:numCache>
                <c:formatCode>General</c:formatCode>
                <c:ptCount val="5"/>
                <c:pt idx="0">
                  <c:v>1.0048087072249225</c:v>
                </c:pt>
                <c:pt idx="1">
                  <c:v>1.0013836013023674</c:v>
                </c:pt>
                <c:pt idx="2">
                  <c:v>1</c:v>
                </c:pt>
                <c:pt idx="3">
                  <c:v>0.99936757527714903</c:v>
                </c:pt>
                <c:pt idx="4">
                  <c:v>0.99906228350159831</c:v>
                </c:pt>
              </c:numCache>
            </c:numRef>
          </c:yVal>
          <c:smooth val="1"/>
          <c:extLst>
            <c:ext xmlns:c16="http://schemas.microsoft.com/office/drawing/2014/chart" uri="{C3380CC4-5D6E-409C-BE32-E72D297353CC}">
              <c16:uniqueId val="{00000004-7290-C84D-9C11-D40EC4B78A85}"/>
            </c:ext>
          </c:extLst>
        </c:ser>
        <c:ser>
          <c:idx val="6"/>
          <c:order val="3"/>
          <c:tx>
            <c:v>Electricity demand</c:v>
          </c:tx>
          <c:spPr>
            <a:ln w="19050" cap="rnd">
              <a:solidFill>
                <a:schemeClr val="accent1">
                  <a:lumMod val="60000"/>
                </a:schemeClr>
              </a:solidFill>
              <a:round/>
            </a:ln>
            <a:effectLst/>
          </c:spPr>
          <c:marker>
            <c:symbol val="none"/>
          </c:marker>
          <c:xVal>
            <c:numRef>
              <c:f>MININ!$B$52:$B$56</c:f>
              <c:numCache>
                <c:formatCode>General</c:formatCode>
                <c:ptCount val="5"/>
                <c:pt idx="0">
                  <c:v>0.5</c:v>
                </c:pt>
                <c:pt idx="1">
                  <c:v>0.75</c:v>
                </c:pt>
                <c:pt idx="2">
                  <c:v>1</c:v>
                </c:pt>
                <c:pt idx="3">
                  <c:v>1.25</c:v>
                </c:pt>
                <c:pt idx="4">
                  <c:v>1.5</c:v>
                </c:pt>
              </c:numCache>
            </c:numRef>
          </c:xVal>
          <c:yVal>
            <c:numRef>
              <c:f>MININ!$W$52:$W$56</c:f>
              <c:numCache>
                <c:formatCode>General</c:formatCode>
                <c:ptCount val="5"/>
                <c:pt idx="0">
                  <c:v>0.99201449121439111</c:v>
                </c:pt>
                <c:pt idx="1">
                  <c:v>0.99600724560719556</c:v>
                </c:pt>
                <c:pt idx="2">
                  <c:v>1</c:v>
                </c:pt>
                <c:pt idx="3">
                  <c:v>1.0039927543928044</c:v>
                </c:pt>
                <c:pt idx="4">
                  <c:v>1.0079855087856089</c:v>
                </c:pt>
              </c:numCache>
            </c:numRef>
          </c:yVal>
          <c:smooth val="1"/>
          <c:extLst>
            <c:ext xmlns:c16="http://schemas.microsoft.com/office/drawing/2014/chart" uri="{C3380CC4-5D6E-409C-BE32-E72D297353CC}">
              <c16:uniqueId val="{00000006-7290-C84D-9C11-D40EC4B78A85}"/>
            </c:ext>
          </c:extLst>
        </c:ser>
        <c:dLbls>
          <c:showLegendKey val="0"/>
          <c:showVal val="0"/>
          <c:showCatName val="0"/>
          <c:showSerName val="0"/>
          <c:showPercent val="0"/>
          <c:showBubbleSize val="0"/>
        </c:dLbls>
        <c:axId val="1597283520"/>
        <c:axId val="2135123664"/>
      </c:scatterChart>
      <c:valAx>
        <c:axId val="1597283520"/>
        <c:scaling>
          <c:orientation val="minMax"/>
          <c:max val="1.5"/>
          <c:min val="0.5"/>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value of input parameters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cross"/>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5123664"/>
        <c:crosses val="autoZero"/>
        <c:crossBetween val="midCat"/>
        <c:minorUnit val="0.1"/>
      </c:valAx>
      <c:valAx>
        <c:axId val="2135123664"/>
        <c:scaling>
          <c:orientation val="minMax"/>
          <c:max val="1.1000000000000001"/>
          <c:min val="0.9"/>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Relative</a:t>
                </a:r>
                <a:r>
                  <a:rPr lang="en-US" sz="1400" b="1" baseline="0">
                    <a:solidFill>
                      <a:schemeClr val="tx1"/>
                    </a:solidFill>
                    <a:latin typeface="Arial" panose="020B0604020202020204" pitchFamily="34" charset="0"/>
                    <a:cs typeface="Arial" panose="020B0604020202020204" pitchFamily="34" charset="0"/>
                  </a:rPr>
                  <a:t> cost of MIN</a:t>
                </a:r>
                <a:r>
                  <a:rPr lang="en-US" sz="1400" b="1" baseline="-25000">
                    <a:solidFill>
                      <a:schemeClr val="tx1"/>
                    </a:solidFill>
                    <a:latin typeface="Arial" panose="020B0604020202020204" pitchFamily="34" charset="0"/>
                    <a:cs typeface="Arial" panose="020B0604020202020204" pitchFamily="34" charset="0"/>
                  </a:rPr>
                  <a:t>IN</a:t>
                </a:r>
                <a:r>
                  <a:rPr lang="en-US" sz="1400" b="1" baseline="0">
                    <a:solidFill>
                      <a:schemeClr val="tx1"/>
                    </a:solidFill>
                    <a:latin typeface="Arial" panose="020B0604020202020204" pitchFamily="34" charset="0"/>
                    <a:cs typeface="Arial" panose="020B0604020202020204" pitchFamily="34" charset="0"/>
                  </a:rPr>
                  <a:t> with DAC [-]</a:t>
                </a:r>
                <a:endParaRPr lang="en-US" sz="14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97283520"/>
        <c:crosses val="autoZero"/>
        <c:crossBetween val="midCat"/>
      </c:valAx>
      <c:spPr>
        <a:noFill/>
        <a:ln w="19050">
          <a:solidFill>
            <a:schemeClr val="tx1"/>
          </a:solidFill>
        </a:ln>
        <a:effectLst/>
      </c:spPr>
    </c:plotArea>
    <c:legend>
      <c:legendPos val="b"/>
      <c:layout>
        <c:manualLayout>
          <c:xMode val="edge"/>
          <c:yMode val="edge"/>
          <c:x val="0.55003933811275463"/>
          <c:y val="0.54154295799772689"/>
          <c:w val="0.40013619993994254"/>
          <c:h val="0.28950025871906881"/>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MIN</a:t>
            </a:r>
            <a:r>
              <a:rPr lang="en-US" b="1" baseline="-25000">
                <a:solidFill>
                  <a:schemeClr val="tx1"/>
                </a:solidFill>
                <a:latin typeface="Arial" panose="020B0604020202020204" pitchFamily="34" charset="0"/>
                <a:cs typeface="Arial" panose="020B0604020202020204" pitchFamily="34" charset="0"/>
              </a:rPr>
              <a:t>EX</a:t>
            </a:r>
            <a:r>
              <a:rPr lang="en-US" b="1">
                <a:solidFill>
                  <a:schemeClr val="tx1"/>
                </a:solidFill>
                <a:latin typeface="Arial" panose="020B0604020202020204" pitchFamily="34" charset="0"/>
                <a:cs typeface="Arial" panose="020B0604020202020204" pitchFamily="34" charset="0"/>
              </a:rPr>
              <a:t>,Serpentine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1"/>
          <c:order val="0"/>
          <c:tx>
            <c:strRef>
              <c:f>MINEX!$K$27</c:f>
              <c:strCache>
                <c:ptCount val="1"/>
                <c:pt idx="0">
                  <c:v>Capex</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MINEX!$N$27:$V$27</c:f>
              <c:numCache>
                <c:formatCode>0.0</c:formatCode>
                <c:ptCount val="9"/>
                <c:pt idx="0">
                  <c:v>18.238564939472582</c:v>
                </c:pt>
                <c:pt idx="1">
                  <c:v>14.333187527665034</c:v>
                </c:pt>
                <c:pt idx="2">
                  <c:v>11.276112186448167</c:v>
                </c:pt>
                <c:pt idx="3">
                  <c:v>8.9124994319379329</c:v>
                </c:pt>
                <c:pt idx="4">
                  <c:v>7.1761737396139544</c:v>
                </c:pt>
                <c:pt idx="5">
                  <c:v>6.1018386835263083</c:v>
                </c:pt>
                <c:pt idx="6">
                  <c:v>5.6378140847279381</c:v>
                </c:pt>
                <c:pt idx="7">
                  <c:v>5.5009174321437548</c:v>
                </c:pt>
                <c:pt idx="8">
                  <c:v>5.4678023174932875</c:v>
                </c:pt>
              </c:numCache>
            </c:numRef>
          </c:val>
          <c:extLst>
            <c:ext xmlns:c16="http://schemas.microsoft.com/office/drawing/2014/chart" uri="{C3380CC4-5D6E-409C-BE32-E72D297353CC}">
              <c16:uniqueId val="{00000001-1E3E-B645-A47A-CB3845762E0A}"/>
            </c:ext>
          </c:extLst>
        </c:ser>
        <c:ser>
          <c:idx val="2"/>
          <c:order val="1"/>
          <c:tx>
            <c:strRef>
              <c:f>MINEX!$K$28</c:f>
              <c:strCache>
                <c:ptCount val="1"/>
                <c:pt idx="0">
                  <c:v>Opexfix</c:v>
                </c:pt>
              </c:strCache>
            </c:strRef>
          </c:tx>
          <c:spPr>
            <a:solidFill>
              <a:schemeClr val="bg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MINEX!$N$28:$V$28</c:f>
              <c:numCache>
                <c:formatCode>0.0</c:formatCode>
                <c:ptCount val="9"/>
                <c:pt idx="0">
                  <c:v>7.5511742249077241</c:v>
                </c:pt>
                <c:pt idx="1">
                  <c:v>7.5511742249077241</c:v>
                </c:pt>
                <c:pt idx="2">
                  <c:v>7.5511742249077241</c:v>
                </c:pt>
                <c:pt idx="3">
                  <c:v>7.5511742249077241</c:v>
                </c:pt>
                <c:pt idx="4">
                  <c:v>7.5511742249077241</c:v>
                </c:pt>
                <c:pt idx="5">
                  <c:v>7.5511742249077241</c:v>
                </c:pt>
                <c:pt idx="6">
                  <c:v>7.5511742249077241</c:v>
                </c:pt>
                <c:pt idx="7">
                  <c:v>7.5511742249077241</c:v>
                </c:pt>
                <c:pt idx="8">
                  <c:v>7.5511742249077241</c:v>
                </c:pt>
              </c:numCache>
            </c:numRef>
          </c:val>
          <c:extLst>
            <c:ext xmlns:c16="http://schemas.microsoft.com/office/drawing/2014/chart" uri="{C3380CC4-5D6E-409C-BE32-E72D297353CC}">
              <c16:uniqueId val="{00000002-1E3E-B645-A47A-CB3845762E0A}"/>
            </c:ext>
          </c:extLst>
        </c:ser>
        <c:ser>
          <c:idx val="3"/>
          <c:order val="2"/>
          <c:tx>
            <c:strRef>
              <c:f>MINEX!$K$29</c:f>
              <c:strCache>
                <c:ptCount val="1"/>
                <c:pt idx="0">
                  <c:v>Opexvar</c:v>
                </c:pt>
              </c:strCache>
            </c:strRef>
          </c:tx>
          <c:spPr>
            <a:solidFill>
              <a:schemeClr val="bg2">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MINEX!$N$29:$V$29</c:f>
              <c:numCache>
                <c:formatCode>0.0</c:formatCode>
                <c:ptCount val="9"/>
                <c:pt idx="0">
                  <c:v>14.983690186418691</c:v>
                </c:pt>
                <c:pt idx="1">
                  <c:v>14.983690186418691</c:v>
                </c:pt>
                <c:pt idx="2">
                  <c:v>14.983690186418691</c:v>
                </c:pt>
                <c:pt idx="3">
                  <c:v>14.983690186418691</c:v>
                </c:pt>
                <c:pt idx="4">
                  <c:v>14.983690186418691</c:v>
                </c:pt>
                <c:pt idx="5">
                  <c:v>14.983690186418691</c:v>
                </c:pt>
                <c:pt idx="6">
                  <c:v>14.983690186418691</c:v>
                </c:pt>
                <c:pt idx="7">
                  <c:v>14.983690186418691</c:v>
                </c:pt>
                <c:pt idx="8">
                  <c:v>14.983690186418691</c:v>
                </c:pt>
              </c:numCache>
            </c:numRef>
          </c:val>
          <c:extLst>
            <c:ext xmlns:c16="http://schemas.microsoft.com/office/drawing/2014/chart" uri="{C3380CC4-5D6E-409C-BE32-E72D297353CC}">
              <c16:uniqueId val="{00000003-1E3E-B645-A47A-CB3845762E0A}"/>
            </c:ext>
          </c:extLst>
        </c:ser>
        <c:ser>
          <c:idx val="4"/>
          <c:order val="3"/>
          <c:tx>
            <c:strRef>
              <c:f>MINEX!$K$30</c:f>
              <c:strCache>
                <c:ptCount val="1"/>
                <c:pt idx="0">
                  <c:v>Electricity</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MINEX!$N$30:$V$30</c:f>
              <c:numCache>
                <c:formatCode>0.0</c:formatCode>
                <c:ptCount val="9"/>
                <c:pt idx="0">
                  <c:v>18.791499999999999</c:v>
                </c:pt>
                <c:pt idx="1">
                  <c:v>17.81325</c:v>
                </c:pt>
                <c:pt idx="2">
                  <c:v>16.835000000000001</c:v>
                </c:pt>
                <c:pt idx="3">
                  <c:v>12.26225</c:v>
                </c:pt>
                <c:pt idx="4">
                  <c:v>7.6894999999999998</c:v>
                </c:pt>
                <c:pt idx="5">
                  <c:v>7.3937499999999998</c:v>
                </c:pt>
                <c:pt idx="6">
                  <c:v>7.0979999999999999</c:v>
                </c:pt>
                <c:pt idx="7">
                  <c:v>6.8022499999999999</c:v>
                </c:pt>
                <c:pt idx="8">
                  <c:v>6.5065000000000008</c:v>
                </c:pt>
              </c:numCache>
            </c:numRef>
          </c:val>
          <c:extLst>
            <c:ext xmlns:c16="http://schemas.microsoft.com/office/drawing/2014/chart" uri="{C3380CC4-5D6E-409C-BE32-E72D297353CC}">
              <c16:uniqueId val="{00000000-3431-334F-9F24-698DCC1B8974}"/>
            </c:ext>
          </c:extLst>
        </c:ser>
        <c:ser>
          <c:idx val="5"/>
          <c:order val="4"/>
          <c:tx>
            <c:strRef>
              <c:f>MINEX!$K$31</c:f>
              <c:strCache>
                <c:ptCount val="1"/>
                <c:pt idx="0">
                  <c:v>Heat</c:v>
                </c:pt>
              </c:strCache>
            </c:strRef>
          </c:tx>
          <c:spPr>
            <a:solidFill>
              <a:srgbClr val="FF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MINEX!$N$31:$V$31</c:f>
              <c:numCache>
                <c:formatCode>0.0</c:formatCode>
                <c:ptCount val="9"/>
                <c:pt idx="0">
                  <c:v>13.372698083562479</c:v>
                </c:pt>
                <c:pt idx="1">
                  <c:v>12.588086436933741</c:v>
                </c:pt>
                <c:pt idx="2">
                  <c:v>10.811668958752527</c:v>
                </c:pt>
                <c:pt idx="3">
                  <c:v>8.6786316024306878</c:v>
                </c:pt>
                <c:pt idx="4">
                  <c:v>6.4505902155949046</c:v>
                </c:pt>
                <c:pt idx="5">
                  <c:v>6.239569550272325</c:v>
                </c:pt>
                <c:pt idx="6">
                  <c:v>6.041338016181415</c:v>
                </c:pt>
                <c:pt idx="7">
                  <c:v>5.8547671605664418</c:v>
                </c:pt>
                <c:pt idx="8">
                  <c:v>5.6788574967008971</c:v>
                </c:pt>
              </c:numCache>
            </c:numRef>
          </c:val>
          <c:extLst>
            <c:ext xmlns:c16="http://schemas.microsoft.com/office/drawing/2014/chart" uri="{C3380CC4-5D6E-409C-BE32-E72D297353CC}">
              <c16:uniqueId val="{00000006-DB1C-F841-92AD-0F611B049DD4}"/>
            </c:ext>
          </c:extLst>
        </c:ser>
        <c:dLbls>
          <c:dLblPos val="ctr"/>
          <c:showLegendKey val="0"/>
          <c:showVal val="1"/>
          <c:showCatName val="0"/>
          <c:showSerName val="0"/>
          <c:showPercent val="0"/>
          <c:showBubbleSize val="0"/>
        </c:dLbls>
        <c:gapWidth val="50"/>
        <c:overlap val="100"/>
        <c:axId val="643617071"/>
        <c:axId val="329558192"/>
      </c:barChart>
      <c:catAx>
        <c:axId val="643617071"/>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29558192"/>
        <c:crosses val="autoZero"/>
        <c:auto val="1"/>
        <c:lblAlgn val="ctr"/>
        <c:lblOffset val="100"/>
        <c:noMultiLvlLbl val="0"/>
      </c:catAx>
      <c:valAx>
        <c:axId val="329558192"/>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LCOCDR [€/tCO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3617071"/>
        <c:crosses val="autoZero"/>
        <c:crossBetween val="between"/>
      </c:valAx>
      <c:spPr>
        <a:noFill/>
        <a:ln w="19050">
          <a:solidFill>
            <a:schemeClr val="tx1"/>
          </a:solidFill>
        </a:ln>
        <a:effectLst/>
      </c:spPr>
    </c:plotArea>
    <c:legend>
      <c:legendPos val="r"/>
      <c:layout>
        <c:manualLayout>
          <c:xMode val="edge"/>
          <c:yMode val="edge"/>
          <c:x val="0.60592420214602305"/>
          <c:y val="0.11301672674283433"/>
          <c:w val="0.36519008924514235"/>
          <c:h val="0.17558549091900977"/>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MIN</a:t>
            </a:r>
            <a:r>
              <a:rPr lang="en-US" b="1" baseline="-25000">
                <a:solidFill>
                  <a:schemeClr val="tx1"/>
                </a:solidFill>
                <a:latin typeface="Arial" panose="020B0604020202020204" pitchFamily="34" charset="0"/>
                <a:cs typeface="Arial" panose="020B0604020202020204" pitchFamily="34" charset="0"/>
              </a:rPr>
              <a:t>EX</a:t>
            </a:r>
            <a:r>
              <a:rPr lang="en-US" b="1">
                <a:solidFill>
                  <a:schemeClr val="tx1"/>
                </a:solidFill>
                <a:latin typeface="Arial" panose="020B0604020202020204" pitchFamily="34" charset="0"/>
                <a:cs typeface="Arial" panose="020B0604020202020204" pitchFamily="34" charset="0"/>
              </a:rPr>
              <a:t>,Olivine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MINEX!$K$53</c:f>
              <c:strCache>
                <c:ptCount val="1"/>
                <c:pt idx="0">
                  <c:v>Capex</c:v>
                </c:pt>
              </c:strCache>
            </c:strRef>
          </c:tx>
          <c:spPr>
            <a:solidFill>
              <a:schemeClr val="bg2">
                <a:lumMod val="9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MINEX!$N$53:$V$53</c:f>
              <c:numCache>
                <c:formatCode>0.0</c:formatCode>
                <c:ptCount val="9"/>
                <c:pt idx="0">
                  <c:v>18.238564939472582</c:v>
                </c:pt>
                <c:pt idx="1">
                  <c:v>14.333187527665034</c:v>
                </c:pt>
                <c:pt idx="2">
                  <c:v>11.276112186448167</c:v>
                </c:pt>
                <c:pt idx="3">
                  <c:v>8.9124994319379329</c:v>
                </c:pt>
                <c:pt idx="4">
                  <c:v>7.1761737396139544</c:v>
                </c:pt>
                <c:pt idx="5">
                  <c:v>6.1018386835263083</c:v>
                </c:pt>
                <c:pt idx="6">
                  <c:v>5.6378140847279381</c:v>
                </c:pt>
                <c:pt idx="7">
                  <c:v>5.5009174321437548</c:v>
                </c:pt>
                <c:pt idx="8">
                  <c:v>5.4678023174932875</c:v>
                </c:pt>
              </c:numCache>
            </c:numRef>
          </c:val>
          <c:extLst>
            <c:ext xmlns:c16="http://schemas.microsoft.com/office/drawing/2014/chart" uri="{C3380CC4-5D6E-409C-BE32-E72D297353CC}">
              <c16:uniqueId val="{00000000-0D30-9149-8BE0-3386E9E1A7EE}"/>
            </c:ext>
          </c:extLst>
        </c:ser>
        <c:ser>
          <c:idx val="1"/>
          <c:order val="1"/>
          <c:tx>
            <c:strRef>
              <c:f>MINEX!$K$54</c:f>
              <c:strCache>
                <c:ptCount val="1"/>
                <c:pt idx="0">
                  <c:v>Opexfix</c:v>
                </c:pt>
              </c:strCache>
            </c:strRef>
          </c:tx>
          <c:spPr>
            <a:solidFill>
              <a:schemeClr val="bg2">
                <a:lumMod val="75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MINEX!$N$54:$V$54</c:f>
              <c:numCache>
                <c:formatCode>0.0</c:formatCode>
                <c:ptCount val="9"/>
                <c:pt idx="0">
                  <c:v>7.5511742249077241</c:v>
                </c:pt>
                <c:pt idx="1">
                  <c:v>7.5511742249077241</c:v>
                </c:pt>
                <c:pt idx="2">
                  <c:v>7.5511742249077241</c:v>
                </c:pt>
                <c:pt idx="3">
                  <c:v>7.5511742249077241</c:v>
                </c:pt>
                <c:pt idx="4">
                  <c:v>7.5511742249077241</c:v>
                </c:pt>
                <c:pt idx="5">
                  <c:v>7.5511742249077241</c:v>
                </c:pt>
                <c:pt idx="6">
                  <c:v>7.5511742249077241</c:v>
                </c:pt>
                <c:pt idx="7">
                  <c:v>7.5511742249077241</c:v>
                </c:pt>
                <c:pt idx="8">
                  <c:v>7.5511742249077241</c:v>
                </c:pt>
              </c:numCache>
            </c:numRef>
          </c:val>
          <c:extLst>
            <c:ext xmlns:c16="http://schemas.microsoft.com/office/drawing/2014/chart" uri="{C3380CC4-5D6E-409C-BE32-E72D297353CC}">
              <c16:uniqueId val="{00000001-0D30-9149-8BE0-3386E9E1A7EE}"/>
            </c:ext>
          </c:extLst>
        </c:ser>
        <c:ser>
          <c:idx val="2"/>
          <c:order val="2"/>
          <c:tx>
            <c:strRef>
              <c:f>MINEX!$K$55</c:f>
              <c:strCache>
                <c:ptCount val="1"/>
                <c:pt idx="0">
                  <c:v>Opexvar</c:v>
                </c:pt>
              </c:strCache>
            </c:strRef>
          </c:tx>
          <c:spPr>
            <a:solidFill>
              <a:schemeClr val="bg2">
                <a:lumMod val="5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MINEX!$N$55:$V$55</c:f>
              <c:numCache>
                <c:formatCode>0.0</c:formatCode>
                <c:ptCount val="9"/>
                <c:pt idx="0">
                  <c:v>14.983690186418691</c:v>
                </c:pt>
                <c:pt idx="1">
                  <c:v>14.983690186418691</c:v>
                </c:pt>
                <c:pt idx="2">
                  <c:v>14.983690186418691</c:v>
                </c:pt>
                <c:pt idx="3">
                  <c:v>14.983690186418691</c:v>
                </c:pt>
                <c:pt idx="4">
                  <c:v>14.983690186418691</c:v>
                </c:pt>
                <c:pt idx="5">
                  <c:v>14.983690186418691</c:v>
                </c:pt>
                <c:pt idx="6">
                  <c:v>14.983690186418691</c:v>
                </c:pt>
                <c:pt idx="7">
                  <c:v>14.983690186418691</c:v>
                </c:pt>
                <c:pt idx="8">
                  <c:v>14.983690186418691</c:v>
                </c:pt>
              </c:numCache>
            </c:numRef>
          </c:val>
          <c:extLst>
            <c:ext xmlns:c16="http://schemas.microsoft.com/office/drawing/2014/chart" uri="{C3380CC4-5D6E-409C-BE32-E72D297353CC}">
              <c16:uniqueId val="{00000002-0D30-9149-8BE0-3386E9E1A7EE}"/>
            </c:ext>
          </c:extLst>
        </c:ser>
        <c:ser>
          <c:idx val="3"/>
          <c:order val="3"/>
          <c:tx>
            <c:strRef>
              <c:f>MINEX!$K$56</c:f>
              <c:strCache>
                <c:ptCount val="1"/>
                <c:pt idx="0">
                  <c:v>Electricity</c:v>
                </c:pt>
              </c:strCache>
            </c:strRef>
          </c:tx>
          <c:spPr>
            <a:solidFill>
              <a:srgbClr val="00B050"/>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MINEX!$N$56:$V$56</c:f>
              <c:numCache>
                <c:formatCode>0.0</c:formatCode>
                <c:ptCount val="9"/>
                <c:pt idx="0">
                  <c:v>28.455699999999997</c:v>
                </c:pt>
                <c:pt idx="1">
                  <c:v>26.974349999999998</c:v>
                </c:pt>
                <c:pt idx="2">
                  <c:v>25.492999999999999</c:v>
                </c:pt>
                <c:pt idx="3">
                  <c:v>18.568549999999998</c:v>
                </c:pt>
                <c:pt idx="4">
                  <c:v>11.644099999999998</c:v>
                </c:pt>
                <c:pt idx="5">
                  <c:v>11.196249999999999</c:v>
                </c:pt>
                <c:pt idx="6">
                  <c:v>10.748399999999998</c:v>
                </c:pt>
                <c:pt idx="7">
                  <c:v>10.300549999999999</c:v>
                </c:pt>
                <c:pt idx="8">
                  <c:v>9.8527000000000005</c:v>
                </c:pt>
              </c:numCache>
            </c:numRef>
          </c:val>
          <c:extLst>
            <c:ext xmlns:c16="http://schemas.microsoft.com/office/drawing/2014/chart" uri="{C3380CC4-5D6E-409C-BE32-E72D297353CC}">
              <c16:uniqueId val="{00000003-0D30-9149-8BE0-3386E9E1A7EE}"/>
            </c:ext>
          </c:extLst>
        </c:ser>
        <c:ser>
          <c:idx val="4"/>
          <c:order val="4"/>
          <c:tx>
            <c:strRef>
              <c:f>MINEX!$K$57</c:f>
              <c:strCache>
                <c:ptCount val="1"/>
                <c:pt idx="0">
                  <c:v>Heat</c:v>
                </c:pt>
              </c:strCache>
            </c:strRef>
          </c:tx>
          <c:spPr>
            <a:solidFill>
              <a:srgbClr val="FF0000"/>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MINEX!$N$57:$V$57</c:f>
              <c:numCache>
                <c:formatCode>0.0</c:formatCode>
                <c:ptCount val="9"/>
                <c:pt idx="0">
                  <c:v>4.2538999999999998</c:v>
                </c:pt>
                <c:pt idx="1">
                  <c:v>4.0324499999999999</c:v>
                </c:pt>
                <c:pt idx="2">
                  <c:v>3.8109999999999999</c:v>
                </c:pt>
                <c:pt idx="3">
                  <c:v>2.7758499999999997</c:v>
                </c:pt>
                <c:pt idx="4">
                  <c:v>1.7406999999999997</c:v>
                </c:pt>
                <c:pt idx="5">
                  <c:v>1.6737499999999998</c:v>
                </c:pt>
                <c:pt idx="6">
                  <c:v>1.6067999999999998</c:v>
                </c:pt>
                <c:pt idx="7">
                  <c:v>1.5398499999999999</c:v>
                </c:pt>
                <c:pt idx="8">
                  <c:v>1.4729000000000001</c:v>
                </c:pt>
              </c:numCache>
            </c:numRef>
          </c:val>
          <c:extLst>
            <c:ext xmlns:c16="http://schemas.microsoft.com/office/drawing/2014/chart" uri="{C3380CC4-5D6E-409C-BE32-E72D297353CC}">
              <c16:uniqueId val="{00000004-0D30-9149-8BE0-3386E9E1A7EE}"/>
            </c:ext>
          </c:extLst>
        </c:ser>
        <c:dLbls>
          <c:showLegendKey val="0"/>
          <c:showVal val="1"/>
          <c:showCatName val="0"/>
          <c:showSerName val="0"/>
          <c:showPercent val="0"/>
          <c:showBubbleSize val="0"/>
        </c:dLbls>
        <c:gapWidth val="50"/>
        <c:overlap val="100"/>
        <c:axId val="643617071"/>
        <c:axId val="329558192"/>
      </c:barChart>
      <c:catAx>
        <c:axId val="643617071"/>
        <c:scaling>
          <c:orientation val="minMax"/>
        </c:scaling>
        <c:delete val="0"/>
        <c:axPos val="b"/>
        <c:numFmt formatCode="General" sourceLinked="1"/>
        <c:majorTickMark val="in"/>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29558192"/>
        <c:crosses val="autoZero"/>
        <c:auto val="1"/>
        <c:lblAlgn val="ctr"/>
        <c:lblOffset val="100"/>
        <c:noMultiLvlLbl val="0"/>
      </c:catAx>
      <c:valAx>
        <c:axId val="329558192"/>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LCOCDR [€/tCO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3617071"/>
        <c:crosses val="autoZero"/>
        <c:crossBetween val="between"/>
      </c:valAx>
      <c:spPr>
        <a:noFill/>
        <a:ln w="19050">
          <a:solidFill>
            <a:schemeClr val="tx1"/>
          </a:solidFill>
        </a:ln>
        <a:effectLst/>
      </c:spPr>
    </c:plotArea>
    <c:legend>
      <c:legendPos val="tr"/>
      <c:layout>
        <c:manualLayout>
          <c:xMode val="edge"/>
          <c:yMode val="edge"/>
          <c:x val="0.59901742871060559"/>
          <c:y val="0.11955955576262078"/>
          <c:w val="0.36791119946057199"/>
          <c:h val="0.16411981014134033"/>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MIN</a:t>
            </a:r>
            <a:r>
              <a:rPr lang="en-US" b="1" baseline="-25000">
                <a:solidFill>
                  <a:schemeClr val="tx1"/>
                </a:solidFill>
                <a:latin typeface="Arial" panose="020B0604020202020204" pitchFamily="34" charset="0"/>
                <a:cs typeface="Arial" panose="020B0604020202020204" pitchFamily="34" charset="0"/>
              </a:rPr>
              <a:t>EX</a:t>
            </a:r>
            <a:r>
              <a:rPr lang="en-US" b="1">
                <a:solidFill>
                  <a:schemeClr val="tx1"/>
                </a:solidFill>
                <a:latin typeface="Arial" panose="020B0604020202020204" pitchFamily="34" charset="0"/>
                <a:cs typeface="Arial" panose="020B0604020202020204" pitchFamily="34" charset="0"/>
              </a:rPr>
              <a:t>,</a:t>
            </a:r>
            <a:r>
              <a:rPr lang="en-US" b="1" baseline="0">
                <a:solidFill>
                  <a:schemeClr val="tx1"/>
                </a:solidFill>
                <a:latin typeface="Arial" panose="020B0604020202020204" pitchFamily="34" charset="0"/>
                <a:cs typeface="Arial" panose="020B0604020202020204" pitchFamily="34" charset="0"/>
              </a:rPr>
              <a:t> Industrial Waste</a:t>
            </a:r>
            <a:endParaRPr lang="en-US"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MINEX!$K$80</c:f>
              <c:strCache>
                <c:ptCount val="1"/>
                <c:pt idx="0">
                  <c:v>Capex</c:v>
                </c:pt>
              </c:strCache>
            </c:strRef>
          </c:tx>
          <c:spPr>
            <a:solidFill>
              <a:schemeClr val="bg2">
                <a:lumMod val="9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MINEX!$N$80:$V$80</c:f>
              <c:numCache>
                <c:formatCode>0.0</c:formatCode>
                <c:ptCount val="9"/>
                <c:pt idx="0">
                  <c:v>18.238564939472582</c:v>
                </c:pt>
                <c:pt idx="1">
                  <c:v>14.333187527665034</c:v>
                </c:pt>
                <c:pt idx="2">
                  <c:v>11.276112186448167</c:v>
                </c:pt>
                <c:pt idx="3">
                  <c:v>8.9124994319379329</c:v>
                </c:pt>
                <c:pt idx="4">
                  <c:v>7.1761737396139544</c:v>
                </c:pt>
                <c:pt idx="5">
                  <c:v>6.1018386835263083</c:v>
                </c:pt>
                <c:pt idx="6">
                  <c:v>5.6378140847279381</c:v>
                </c:pt>
                <c:pt idx="7">
                  <c:v>5.5009174321437548</c:v>
                </c:pt>
                <c:pt idx="8">
                  <c:v>5.4678023174932875</c:v>
                </c:pt>
              </c:numCache>
            </c:numRef>
          </c:val>
          <c:extLst>
            <c:ext xmlns:c16="http://schemas.microsoft.com/office/drawing/2014/chart" uri="{C3380CC4-5D6E-409C-BE32-E72D297353CC}">
              <c16:uniqueId val="{00000000-E236-9A42-BC48-C312A3382521}"/>
            </c:ext>
          </c:extLst>
        </c:ser>
        <c:ser>
          <c:idx val="1"/>
          <c:order val="1"/>
          <c:tx>
            <c:strRef>
              <c:f>MINEX!$K$81</c:f>
              <c:strCache>
                <c:ptCount val="1"/>
                <c:pt idx="0">
                  <c:v>Opexfix</c:v>
                </c:pt>
              </c:strCache>
            </c:strRef>
          </c:tx>
          <c:spPr>
            <a:solidFill>
              <a:schemeClr val="bg2">
                <a:lumMod val="75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MINEX!$N$81:$V$81</c:f>
              <c:numCache>
                <c:formatCode>0.0</c:formatCode>
                <c:ptCount val="9"/>
                <c:pt idx="0">
                  <c:v>7.5511742249077241</c:v>
                </c:pt>
                <c:pt idx="1">
                  <c:v>7.5511742249077241</c:v>
                </c:pt>
                <c:pt idx="2">
                  <c:v>7.5511742249077241</c:v>
                </c:pt>
                <c:pt idx="3">
                  <c:v>7.5511742249077241</c:v>
                </c:pt>
                <c:pt idx="4">
                  <c:v>7.5511742249077241</c:v>
                </c:pt>
                <c:pt idx="5">
                  <c:v>7.5511742249077241</c:v>
                </c:pt>
                <c:pt idx="6">
                  <c:v>7.5511742249077241</c:v>
                </c:pt>
                <c:pt idx="7">
                  <c:v>7.5511742249077241</c:v>
                </c:pt>
                <c:pt idx="8">
                  <c:v>7.5511742249077241</c:v>
                </c:pt>
              </c:numCache>
            </c:numRef>
          </c:val>
          <c:extLst>
            <c:ext xmlns:c16="http://schemas.microsoft.com/office/drawing/2014/chart" uri="{C3380CC4-5D6E-409C-BE32-E72D297353CC}">
              <c16:uniqueId val="{00000001-E236-9A42-BC48-C312A3382521}"/>
            </c:ext>
          </c:extLst>
        </c:ser>
        <c:ser>
          <c:idx val="3"/>
          <c:order val="2"/>
          <c:tx>
            <c:strRef>
              <c:f>MINEX!$K$83</c:f>
              <c:strCache>
                <c:ptCount val="1"/>
                <c:pt idx="0">
                  <c:v>Electricity</c:v>
                </c:pt>
              </c:strCache>
            </c:strRef>
          </c:tx>
          <c:spPr>
            <a:solidFill>
              <a:srgbClr val="00B050"/>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MINEX!$N$83:$V$83</c:f>
              <c:numCache>
                <c:formatCode>0.0</c:formatCode>
                <c:ptCount val="9"/>
                <c:pt idx="0">
                  <c:v>24.449599999999997</c:v>
                </c:pt>
                <c:pt idx="1">
                  <c:v>23.176799999999997</c:v>
                </c:pt>
                <c:pt idx="2">
                  <c:v>21.904</c:v>
                </c:pt>
                <c:pt idx="3">
                  <c:v>15.954399999999998</c:v>
                </c:pt>
                <c:pt idx="4">
                  <c:v>10.004799999999999</c:v>
                </c:pt>
                <c:pt idx="5">
                  <c:v>9.6199999999999992</c:v>
                </c:pt>
                <c:pt idx="6">
                  <c:v>9.235199999999999</c:v>
                </c:pt>
                <c:pt idx="7">
                  <c:v>8.8503999999999987</c:v>
                </c:pt>
                <c:pt idx="8">
                  <c:v>8.4656000000000002</c:v>
                </c:pt>
              </c:numCache>
            </c:numRef>
          </c:val>
          <c:extLst>
            <c:ext xmlns:c16="http://schemas.microsoft.com/office/drawing/2014/chart" uri="{C3380CC4-5D6E-409C-BE32-E72D297353CC}">
              <c16:uniqueId val="{00000003-E236-9A42-BC48-C312A3382521}"/>
            </c:ext>
          </c:extLst>
        </c:ser>
        <c:ser>
          <c:idx val="4"/>
          <c:order val="3"/>
          <c:tx>
            <c:strRef>
              <c:f>MINEX!$K$84</c:f>
              <c:strCache>
                <c:ptCount val="1"/>
                <c:pt idx="0">
                  <c:v>Heat</c:v>
                </c:pt>
              </c:strCache>
            </c:strRef>
          </c:tx>
          <c:spPr>
            <a:solidFill>
              <a:srgbClr val="FF0000"/>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MINEX!$N$9:$V$9</c:f>
              <c:numCache>
                <c:formatCode>General</c:formatCode>
                <c:ptCount val="9"/>
                <c:pt idx="0">
                  <c:v>2030</c:v>
                </c:pt>
                <c:pt idx="1">
                  <c:v>2035</c:v>
                </c:pt>
                <c:pt idx="2">
                  <c:v>2040</c:v>
                </c:pt>
                <c:pt idx="3">
                  <c:v>2045</c:v>
                </c:pt>
                <c:pt idx="4">
                  <c:v>2050</c:v>
                </c:pt>
                <c:pt idx="5">
                  <c:v>2055</c:v>
                </c:pt>
                <c:pt idx="6">
                  <c:v>2060</c:v>
                </c:pt>
                <c:pt idx="7">
                  <c:v>2065</c:v>
                </c:pt>
                <c:pt idx="8">
                  <c:v>2070</c:v>
                </c:pt>
              </c:numCache>
            </c:numRef>
          </c:cat>
          <c:val>
            <c:numRef>
              <c:f>MINEX!$N$84:$V$84</c:f>
              <c:numCache>
                <c:formatCode>0.0</c:formatCode>
                <c:ptCount val="9"/>
                <c:pt idx="0">
                  <c:v>16.809099999999997</c:v>
                </c:pt>
                <c:pt idx="1">
                  <c:v>15.934049999999999</c:v>
                </c:pt>
                <c:pt idx="2">
                  <c:v>15.058999999999999</c:v>
                </c:pt>
                <c:pt idx="3">
                  <c:v>10.968649999999998</c:v>
                </c:pt>
                <c:pt idx="4">
                  <c:v>6.8782999999999985</c:v>
                </c:pt>
                <c:pt idx="5">
                  <c:v>6.6137499999999996</c:v>
                </c:pt>
                <c:pt idx="6">
                  <c:v>6.3491999999999997</c:v>
                </c:pt>
                <c:pt idx="7">
                  <c:v>6.084649999999999</c:v>
                </c:pt>
                <c:pt idx="8">
                  <c:v>5.8201000000000001</c:v>
                </c:pt>
              </c:numCache>
            </c:numRef>
          </c:val>
          <c:extLst>
            <c:ext xmlns:c16="http://schemas.microsoft.com/office/drawing/2014/chart" uri="{C3380CC4-5D6E-409C-BE32-E72D297353CC}">
              <c16:uniqueId val="{00000004-E236-9A42-BC48-C312A3382521}"/>
            </c:ext>
          </c:extLst>
        </c:ser>
        <c:dLbls>
          <c:showLegendKey val="0"/>
          <c:showVal val="1"/>
          <c:showCatName val="0"/>
          <c:showSerName val="0"/>
          <c:showPercent val="0"/>
          <c:showBubbleSize val="0"/>
        </c:dLbls>
        <c:gapWidth val="50"/>
        <c:overlap val="100"/>
        <c:axId val="643617071"/>
        <c:axId val="329558192"/>
      </c:barChart>
      <c:catAx>
        <c:axId val="643617071"/>
        <c:scaling>
          <c:orientation val="minMax"/>
        </c:scaling>
        <c:delete val="0"/>
        <c:axPos val="b"/>
        <c:numFmt formatCode="General" sourceLinked="1"/>
        <c:majorTickMark val="in"/>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29558192"/>
        <c:crosses val="autoZero"/>
        <c:auto val="1"/>
        <c:lblAlgn val="ctr"/>
        <c:lblOffset val="100"/>
        <c:noMultiLvlLbl val="0"/>
      </c:catAx>
      <c:valAx>
        <c:axId val="329558192"/>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a:solidFill>
                      <a:schemeClr val="tx1"/>
                    </a:solidFill>
                    <a:latin typeface="Arial" panose="020B0604020202020204" pitchFamily="34" charset="0"/>
                    <a:cs typeface="Arial" panose="020B0604020202020204" pitchFamily="34" charset="0"/>
                  </a:rPr>
                  <a:t>LCOCDR [€/tCO</a:t>
                </a:r>
                <a:r>
                  <a:rPr lang="en-US" sz="1400" b="1" baseline="-25000">
                    <a:solidFill>
                      <a:schemeClr val="tx1"/>
                    </a:solidFill>
                    <a:latin typeface="Arial" panose="020B0604020202020204" pitchFamily="34" charset="0"/>
                    <a:cs typeface="Arial" panose="020B0604020202020204" pitchFamily="34" charset="0"/>
                  </a:rPr>
                  <a:t>2</a:t>
                </a:r>
                <a:r>
                  <a:rPr lang="en-US" sz="1400" b="1">
                    <a:solidFill>
                      <a:schemeClr val="tx1"/>
                    </a:solidFill>
                    <a:latin typeface="Arial" panose="020B0604020202020204" pitchFamily="34" charset="0"/>
                    <a:cs typeface="Arial" panose="020B0604020202020204" pitchFamily="34" charset="0"/>
                  </a:rPr>
                  <a:t>]</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19050">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3617071"/>
        <c:crosses val="autoZero"/>
        <c:crossBetween val="between"/>
      </c:valAx>
      <c:spPr>
        <a:noFill/>
        <a:ln w="19050">
          <a:solidFill>
            <a:schemeClr val="tx1"/>
          </a:solidFill>
        </a:ln>
        <a:effectLst/>
      </c:spPr>
    </c:plotArea>
    <c:legend>
      <c:legendPos val="r"/>
      <c:layout>
        <c:manualLayout>
          <c:xMode val="edge"/>
          <c:yMode val="edge"/>
          <c:x val="0.58654281452580947"/>
          <c:y val="0.12389107754493817"/>
          <c:w val="0.36820231421814437"/>
          <c:h val="0.1083325720728047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3</xdr:col>
      <xdr:colOff>584087</xdr:colOff>
      <xdr:row>17</xdr:row>
      <xdr:rowOff>2415</xdr:rowOff>
    </xdr:from>
    <xdr:to>
      <xdr:col>10</xdr:col>
      <xdr:colOff>35050</xdr:colOff>
      <xdr:row>38</xdr:row>
      <xdr:rowOff>55216</xdr:rowOff>
    </xdr:to>
    <xdr:graphicFrame macro="">
      <xdr:nvGraphicFramePr>
        <xdr:cNvPr id="2" name="Chart 1">
          <a:extLst>
            <a:ext uri="{FF2B5EF4-FFF2-40B4-BE49-F238E27FC236}">
              <a16:creationId xmlns:a16="http://schemas.microsoft.com/office/drawing/2014/main" id="{D6FBF57A-2AED-E8DF-0845-150D805741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1809750</xdr:colOff>
      <xdr:row>22</xdr:row>
      <xdr:rowOff>95250</xdr:rowOff>
    </xdr:from>
    <xdr:to>
      <xdr:col>11</xdr:col>
      <xdr:colOff>639950</xdr:colOff>
      <xdr:row>43</xdr:row>
      <xdr:rowOff>148050</xdr:rowOff>
    </xdr:to>
    <xdr:graphicFrame macro="">
      <xdr:nvGraphicFramePr>
        <xdr:cNvPr id="2" name="Chart 1">
          <a:extLst>
            <a:ext uri="{FF2B5EF4-FFF2-40B4-BE49-F238E27FC236}">
              <a16:creationId xmlns:a16="http://schemas.microsoft.com/office/drawing/2014/main" id="{4FCB5CF0-CD9E-7E84-33BF-2DA7BF2CDA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920542</xdr:colOff>
      <xdr:row>36</xdr:row>
      <xdr:rowOff>177800</xdr:rowOff>
    </xdr:from>
    <xdr:to>
      <xdr:col>14</xdr:col>
      <xdr:colOff>367836</xdr:colOff>
      <xdr:row>58</xdr:row>
      <xdr:rowOff>27400</xdr:rowOff>
    </xdr:to>
    <xdr:graphicFrame macro="">
      <xdr:nvGraphicFramePr>
        <xdr:cNvPr id="2" name="Chart 1">
          <a:extLst>
            <a:ext uri="{FF2B5EF4-FFF2-40B4-BE49-F238E27FC236}">
              <a16:creationId xmlns:a16="http://schemas.microsoft.com/office/drawing/2014/main" id="{C65F3673-05F5-7B7C-C978-228A82531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279593</xdr:colOff>
      <xdr:row>26</xdr:row>
      <xdr:rowOff>171833</xdr:rowOff>
    </xdr:from>
    <xdr:to>
      <xdr:col>13</xdr:col>
      <xdr:colOff>523726</xdr:colOff>
      <xdr:row>48</xdr:row>
      <xdr:rowOff>21433</xdr:rowOff>
    </xdr:to>
    <xdr:graphicFrame macro="">
      <xdr:nvGraphicFramePr>
        <xdr:cNvPr id="2" name="Chart 1">
          <a:extLst>
            <a:ext uri="{FF2B5EF4-FFF2-40B4-BE49-F238E27FC236}">
              <a16:creationId xmlns:a16="http://schemas.microsoft.com/office/drawing/2014/main" id="{2BE576C5-D6E5-5C10-44FE-0BF40E1E49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184027</xdr:colOff>
      <xdr:row>27</xdr:row>
      <xdr:rowOff>13858</xdr:rowOff>
    </xdr:from>
    <xdr:to>
      <xdr:col>13</xdr:col>
      <xdr:colOff>428160</xdr:colOff>
      <xdr:row>48</xdr:row>
      <xdr:rowOff>67448</xdr:rowOff>
    </xdr:to>
    <xdr:graphicFrame macro="">
      <xdr:nvGraphicFramePr>
        <xdr:cNvPr id="3" name="Chart 2">
          <a:extLst>
            <a:ext uri="{FF2B5EF4-FFF2-40B4-BE49-F238E27FC236}">
              <a16:creationId xmlns:a16="http://schemas.microsoft.com/office/drawing/2014/main" id="{E1129BBB-EDBE-05FB-412E-BA6FD1AE0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158561</xdr:colOff>
      <xdr:row>10</xdr:row>
      <xdr:rowOff>18671</xdr:rowOff>
    </xdr:from>
    <xdr:to>
      <xdr:col>17</xdr:col>
      <xdr:colOff>563560</xdr:colOff>
      <xdr:row>31</xdr:row>
      <xdr:rowOff>75641</xdr:rowOff>
    </xdr:to>
    <xdr:graphicFrame macro="">
      <xdr:nvGraphicFramePr>
        <xdr:cNvPr id="3" name="Chart 2">
          <a:extLst>
            <a:ext uri="{FF2B5EF4-FFF2-40B4-BE49-F238E27FC236}">
              <a16:creationId xmlns:a16="http://schemas.microsoft.com/office/drawing/2014/main" id="{CE4136A5-56B0-2715-DE61-DA3C4C5E89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67734</xdr:colOff>
      <xdr:row>34</xdr:row>
      <xdr:rowOff>2117</xdr:rowOff>
    </xdr:from>
    <xdr:to>
      <xdr:col>17</xdr:col>
      <xdr:colOff>472734</xdr:colOff>
      <xdr:row>55</xdr:row>
      <xdr:rowOff>49272</xdr:rowOff>
    </xdr:to>
    <xdr:graphicFrame macro="">
      <xdr:nvGraphicFramePr>
        <xdr:cNvPr id="2" name="Chart 1">
          <a:extLst>
            <a:ext uri="{FF2B5EF4-FFF2-40B4-BE49-F238E27FC236}">
              <a16:creationId xmlns:a16="http://schemas.microsoft.com/office/drawing/2014/main" id="{3033F300-9FE0-BE98-6C0D-187FA5933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59</xdr:row>
      <xdr:rowOff>0</xdr:rowOff>
    </xdr:from>
    <xdr:to>
      <xdr:col>17</xdr:col>
      <xdr:colOff>405000</xdr:colOff>
      <xdr:row>80</xdr:row>
      <xdr:rowOff>47156</xdr:rowOff>
    </xdr:to>
    <xdr:graphicFrame macro="">
      <xdr:nvGraphicFramePr>
        <xdr:cNvPr id="4" name="Chart 3">
          <a:extLst>
            <a:ext uri="{FF2B5EF4-FFF2-40B4-BE49-F238E27FC236}">
              <a16:creationId xmlns:a16="http://schemas.microsoft.com/office/drawing/2014/main" id="{44BDCD28-5933-E04B-9F48-6B72F284B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635000</xdr:colOff>
      <xdr:row>93</xdr:row>
      <xdr:rowOff>128588</xdr:rowOff>
    </xdr:from>
    <xdr:to>
      <xdr:col>17</xdr:col>
      <xdr:colOff>563750</xdr:colOff>
      <xdr:row>114</xdr:row>
      <xdr:rowOff>98838</xdr:rowOff>
    </xdr:to>
    <xdr:graphicFrame macro="">
      <xdr:nvGraphicFramePr>
        <xdr:cNvPr id="5" name="Chart 4">
          <a:extLst>
            <a:ext uri="{FF2B5EF4-FFF2-40B4-BE49-F238E27FC236}">
              <a16:creationId xmlns:a16="http://schemas.microsoft.com/office/drawing/2014/main" id="{4A4103DA-3D9E-654A-2FED-15EC39ABC6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907393</xdr:colOff>
      <xdr:row>57</xdr:row>
      <xdr:rowOff>122052</xdr:rowOff>
    </xdr:from>
    <xdr:to>
      <xdr:col>7</xdr:col>
      <xdr:colOff>870813</xdr:colOff>
      <xdr:row>78</xdr:row>
      <xdr:rowOff>163442</xdr:rowOff>
    </xdr:to>
    <xdr:graphicFrame macro="">
      <xdr:nvGraphicFramePr>
        <xdr:cNvPr id="4" name="Chart 3">
          <a:extLst>
            <a:ext uri="{FF2B5EF4-FFF2-40B4-BE49-F238E27FC236}">
              <a16:creationId xmlns:a16="http://schemas.microsoft.com/office/drawing/2014/main" id="{F183D6FF-8CCA-BF84-D60F-623954D55D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28</xdr:col>
      <xdr:colOff>433818</xdr:colOff>
      <xdr:row>8</xdr:row>
      <xdr:rowOff>140366</xdr:rowOff>
    </xdr:from>
    <xdr:to>
      <xdr:col>34</xdr:col>
      <xdr:colOff>858871</xdr:colOff>
      <xdr:row>30</xdr:row>
      <xdr:rowOff>29814</xdr:rowOff>
    </xdr:to>
    <xdr:graphicFrame macro="">
      <xdr:nvGraphicFramePr>
        <xdr:cNvPr id="5" name="Chart 4">
          <a:extLst>
            <a:ext uri="{FF2B5EF4-FFF2-40B4-BE49-F238E27FC236}">
              <a16:creationId xmlns:a16="http://schemas.microsoft.com/office/drawing/2014/main" id="{3B132455-70AC-D54A-B3F3-9F2530F5C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541867</xdr:colOff>
      <xdr:row>34</xdr:row>
      <xdr:rowOff>169334</xdr:rowOff>
    </xdr:from>
    <xdr:to>
      <xdr:col>35</xdr:col>
      <xdr:colOff>18654</xdr:colOff>
      <xdr:row>56</xdr:row>
      <xdr:rowOff>52008</xdr:rowOff>
    </xdr:to>
    <xdr:graphicFrame macro="">
      <xdr:nvGraphicFramePr>
        <xdr:cNvPr id="2" name="Chart 1">
          <a:extLst>
            <a:ext uri="{FF2B5EF4-FFF2-40B4-BE49-F238E27FC236}">
              <a16:creationId xmlns:a16="http://schemas.microsoft.com/office/drawing/2014/main" id="{EB9DCA2D-A69D-E04F-8AEB-7796A0B4C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524933</xdr:colOff>
      <xdr:row>61</xdr:row>
      <xdr:rowOff>152400</xdr:rowOff>
    </xdr:from>
    <xdr:to>
      <xdr:col>35</xdr:col>
      <xdr:colOff>1720</xdr:colOff>
      <xdr:row>83</xdr:row>
      <xdr:rowOff>35075</xdr:rowOff>
    </xdr:to>
    <xdr:graphicFrame macro="">
      <xdr:nvGraphicFramePr>
        <xdr:cNvPr id="6" name="Chart 5">
          <a:extLst>
            <a:ext uri="{FF2B5EF4-FFF2-40B4-BE49-F238E27FC236}">
              <a16:creationId xmlns:a16="http://schemas.microsoft.com/office/drawing/2014/main" id="{F8B392CF-CBA5-3140-BCF8-9ADDC4EBC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859768</xdr:colOff>
      <xdr:row>100</xdr:row>
      <xdr:rowOff>185552</xdr:rowOff>
    </xdr:from>
    <xdr:to>
      <xdr:col>7</xdr:col>
      <xdr:colOff>823188</xdr:colOff>
      <xdr:row>122</xdr:row>
      <xdr:rowOff>20567</xdr:rowOff>
    </xdr:to>
    <xdr:graphicFrame macro="">
      <xdr:nvGraphicFramePr>
        <xdr:cNvPr id="3" name="Chart 2">
          <a:extLst>
            <a:ext uri="{FF2B5EF4-FFF2-40B4-BE49-F238E27FC236}">
              <a16:creationId xmlns:a16="http://schemas.microsoft.com/office/drawing/2014/main" id="{BACB90FC-5B5F-D547-94FE-8C391BF1D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57</xdr:row>
      <xdr:rowOff>0</xdr:rowOff>
    </xdr:from>
    <xdr:to>
      <xdr:col>10</xdr:col>
      <xdr:colOff>976245</xdr:colOff>
      <xdr:row>77</xdr:row>
      <xdr:rowOff>177915</xdr:rowOff>
    </xdr:to>
    <xdr:graphicFrame macro="">
      <xdr:nvGraphicFramePr>
        <xdr:cNvPr id="2" name="Chart 1">
          <a:extLst>
            <a:ext uri="{FF2B5EF4-FFF2-40B4-BE49-F238E27FC236}">
              <a16:creationId xmlns:a16="http://schemas.microsoft.com/office/drawing/2014/main" id="{0D4FB786-64EB-0344-920F-DFC7F74C6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47</xdr:row>
      <xdr:rowOff>0</xdr:rowOff>
    </xdr:from>
    <xdr:to>
      <xdr:col>8</xdr:col>
      <xdr:colOff>947670</xdr:colOff>
      <xdr:row>67</xdr:row>
      <xdr:rowOff>114415</xdr:rowOff>
    </xdr:to>
    <xdr:graphicFrame macro="">
      <xdr:nvGraphicFramePr>
        <xdr:cNvPr id="2" name="Chart 1">
          <a:extLst>
            <a:ext uri="{FF2B5EF4-FFF2-40B4-BE49-F238E27FC236}">
              <a16:creationId xmlns:a16="http://schemas.microsoft.com/office/drawing/2014/main" id="{6CFD4221-B48A-CB42-AE88-812A19688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22</xdr:col>
      <xdr:colOff>574489</xdr:colOff>
      <xdr:row>41</xdr:row>
      <xdr:rowOff>191247</xdr:rowOff>
    </xdr:from>
    <xdr:to>
      <xdr:col>29</xdr:col>
      <xdr:colOff>26988</xdr:colOff>
      <xdr:row>63</xdr:row>
      <xdr:rowOff>34870</xdr:rowOff>
    </xdr:to>
    <xdr:graphicFrame macro="">
      <xdr:nvGraphicFramePr>
        <xdr:cNvPr id="2" name="Chart 1">
          <a:extLst>
            <a:ext uri="{FF2B5EF4-FFF2-40B4-BE49-F238E27FC236}">
              <a16:creationId xmlns:a16="http://schemas.microsoft.com/office/drawing/2014/main" id="{5908944D-0F9A-EA32-D78D-3CA97418D4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342900</xdr:colOff>
      <xdr:row>76</xdr:row>
      <xdr:rowOff>152400</xdr:rowOff>
    </xdr:from>
    <xdr:to>
      <xdr:col>19</xdr:col>
      <xdr:colOff>495300</xdr:colOff>
      <xdr:row>95</xdr:row>
      <xdr:rowOff>42234</xdr:rowOff>
    </xdr:to>
    <xdr:pic>
      <xdr:nvPicPr>
        <xdr:cNvPr id="3" name="Picture 2">
          <a:extLst>
            <a:ext uri="{FF2B5EF4-FFF2-40B4-BE49-F238E27FC236}">
              <a16:creationId xmlns:a16="http://schemas.microsoft.com/office/drawing/2014/main" id="{6B894BE4-BF01-74BF-BE4F-8A48F3829F0E}"/>
            </a:ext>
          </a:extLst>
        </xdr:cNvPr>
        <xdr:cNvPicPr>
          <a:picLocks noChangeAspect="1"/>
        </xdr:cNvPicPr>
      </xdr:nvPicPr>
      <xdr:blipFill>
        <a:blip xmlns:r="http://schemas.openxmlformats.org/officeDocument/2006/relationships" r:embed="rId1"/>
        <a:stretch>
          <a:fillRect/>
        </a:stretch>
      </xdr:blipFill>
      <xdr:spPr>
        <a:xfrm>
          <a:off x="10820400" y="15646400"/>
          <a:ext cx="7772400" cy="3750634"/>
        </a:xfrm>
        <a:prstGeom prst="rect">
          <a:avLst/>
        </a:prstGeom>
      </xdr:spPr>
    </xdr:pic>
    <xdr:clientData/>
  </xdr:twoCellAnchor>
  <xdr:twoCellAnchor>
    <xdr:from>
      <xdr:col>4</xdr:col>
      <xdr:colOff>550875</xdr:colOff>
      <xdr:row>94</xdr:row>
      <xdr:rowOff>145899</xdr:rowOff>
    </xdr:from>
    <xdr:to>
      <xdr:col>11</xdr:col>
      <xdr:colOff>1913</xdr:colOff>
      <xdr:row>115</xdr:row>
      <xdr:rowOff>191860</xdr:rowOff>
    </xdr:to>
    <xdr:graphicFrame macro="">
      <xdr:nvGraphicFramePr>
        <xdr:cNvPr id="2" name="Chart 1">
          <a:extLst>
            <a:ext uri="{FF2B5EF4-FFF2-40B4-BE49-F238E27FC236}">
              <a16:creationId xmlns:a16="http://schemas.microsoft.com/office/drawing/2014/main" id="{08A77875-B429-EC6D-E198-9C3F4A173D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213360</xdr:colOff>
      <xdr:row>40</xdr:row>
      <xdr:rowOff>15240</xdr:rowOff>
    </xdr:from>
    <xdr:to>
      <xdr:col>6</xdr:col>
      <xdr:colOff>618360</xdr:colOff>
      <xdr:row>61</xdr:row>
      <xdr:rowOff>68040</xdr:rowOff>
    </xdr:to>
    <xdr:graphicFrame macro="">
      <xdr:nvGraphicFramePr>
        <xdr:cNvPr id="2" name="Chart 1">
          <a:extLst>
            <a:ext uri="{FF2B5EF4-FFF2-40B4-BE49-F238E27FC236}">
              <a16:creationId xmlns:a16="http://schemas.microsoft.com/office/drawing/2014/main" id="{3DAD8F8D-D6D7-7BC9-4FEF-3950A9EB8B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40640</xdr:colOff>
      <xdr:row>39</xdr:row>
      <xdr:rowOff>142240</xdr:rowOff>
    </xdr:from>
    <xdr:to>
      <xdr:col>13</xdr:col>
      <xdr:colOff>445640</xdr:colOff>
      <xdr:row>60</xdr:row>
      <xdr:rowOff>195040</xdr:rowOff>
    </xdr:to>
    <xdr:graphicFrame macro="">
      <xdr:nvGraphicFramePr>
        <xdr:cNvPr id="3" name="Chart 2">
          <a:extLst>
            <a:ext uri="{FF2B5EF4-FFF2-40B4-BE49-F238E27FC236}">
              <a16:creationId xmlns:a16="http://schemas.microsoft.com/office/drawing/2014/main" id="{9DDFC926-1825-1648-B45A-8A4A84B12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853440</xdr:colOff>
      <xdr:row>39</xdr:row>
      <xdr:rowOff>132080</xdr:rowOff>
    </xdr:from>
    <xdr:to>
      <xdr:col>20</xdr:col>
      <xdr:colOff>303400</xdr:colOff>
      <xdr:row>60</xdr:row>
      <xdr:rowOff>184880</xdr:rowOff>
    </xdr:to>
    <xdr:graphicFrame macro="">
      <xdr:nvGraphicFramePr>
        <xdr:cNvPr id="4" name="Chart 3">
          <a:extLst>
            <a:ext uri="{FF2B5EF4-FFF2-40B4-BE49-F238E27FC236}">
              <a16:creationId xmlns:a16="http://schemas.microsoft.com/office/drawing/2014/main" id="{B7B96FD9-24BC-CB4E-A557-FFB8FD55B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833120</xdr:colOff>
      <xdr:row>39</xdr:row>
      <xdr:rowOff>132080</xdr:rowOff>
    </xdr:from>
    <xdr:to>
      <xdr:col>27</xdr:col>
      <xdr:colOff>283080</xdr:colOff>
      <xdr:row>60</xdr:row>
      <xdr:rowOff>184880</xdr:rowOff>
    </xdr:to>
    <xdr:graphicFrame macro="">
      <xdr:nvGraphicFramePr>
        <xdr:cNvPr id="5" name="Chart 4">
          <a:extLst>
            <a:ext uri="{FF2B5EF4-FFF2-40B4-BE49-F238E27FC236}">
              <a16:creationId xmlns:a16="http://schemas.microsoft.com/office/drawing/2014/main" id="{3B60F355-5772-2F4E-B369-55A60D0C9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83</xdr:row>
      <xdr:rowOff>0</xdr:rowOff>
    </xdr:from>
    <xdr:to>
      <xdr:col>9</xdr:col>
      <xdr:colOff>405000</xdr:colOff>
      <xdr:row>104</xdr:row>
      <xdr:rowOff>52800</xdr:rowOff>
    </xdr:to>
    <xdr:graphicFrame macro="">
      <xdr:nvGraphicFramePr>
        <xdr:cNvPr id="6" name="Chart 5">
          <a:extLst>
            <a:ext uri="{FF2B5EF4-FFF2-40B4-BE49-F238E27FC236}">
              <a16:creationId xmlns:a16="http://schemas.microsoft.com/office/drawing/2014/main" id="{4477BFD3-19E3-D340-A776-CDE92B469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711200</xdr:colOff>
      <xdr:row>122</xdr:row>
      <xdr:rowOff>142240</xdr:rowOff>
    </xdr:from>
    <xdr:to>
      <xdr:col>10</xdr:col>
      <xdr:colOff>161160</xdr:colOff>
      <xdr:row>143</xdr:row>
      <xdr:rowOff>195040</xdr:rowOff>
    </xdr:to>
    <xdr:graphicFrame macro="">
      <xdr:nvGraphicFramePr>
        <xdr:cNvPr id="7" name="Chart 6">
          <a:extLst>
            <a:ext uri="{FF2B5EF4-FFF2-40B4-BE49-F238E27FC236}">
              <a16:creationId xmlns:a16="http://schemas.microsoft.com/office/drawing/2014/main" id="{11C07F40-E785-F749-B4B1-ADBB481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123</xdr:row>
      <xdr:rowOff>0</xdr:rowOff>
    </xdr:from>
    <xdr:to>
      <xdr:col>17</xdr:col>
      <xdr:colOff>399699</xdr:colOff>
      <xdr:row>144</xdr:row>
      <xdr:rowOff>52800</xdr:rowOff>
    </xdr:to>
    <xdr:graphicFrame macro="">
      <xdr:nvGraphicFramePr>
        <xdr:cNvPr id="8" name="Chart 7">
          <a:extLst>
            <a:ext uri="{FF2B5EF4-FFF2-40B4-BE49-F238E27FC236}">
              <a16:creationId xmlns:a16="http://schemas.microsoft.com/office/drawing/2014/main" id="{962072A4-A7F4-334C-8925-EE70A687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ndreas Muhlbauer" id="{C90D6015-73B0-2948-BA41-5617441CFDF0}" userId="S::andreas.muhlbauer@lut.fi::d789237f-044c-43e3-ac6a-6ae088f2847b" providerId="AD"/>
</personList>
</file>

<file path=xl/theme/theme1.xml><?xml version="1.0" encoding="utf-8"?>
<a:theme xmlns:a="http://schemas.openxmlformats.org/drawingml/2006/main" name="Office Theme">
  <a:themeElements>
    <a:clrScheme name="Yellow Orange">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C19" dT="2023-09-16T16:30:27.17" personId="{C90D6015-73B0-2948-BA41-5617441CFDF0}" id="{88C13634-03EC-264B-B8FA-FF01C9AB2ED7}">
    <text>Couldn’t find any information here yet. How should we proceed? Leave that out or make some assumption</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worldometers.info/food-agriculture/cropland-by-country/"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hyperlink" Target="https://doi.org/10.1016/j.jclepro.2022.133920" TargetMode="External"/><Relationship Id="rId13" Type="http://schemas.openxmlformats.org/officeDocument/2006/relationships/hyperlink" Target="https://doi.org/10.1088/1748-9326/aaa9c4" TargetMode="External"/><Relationship Id="rId18" Type="http://schemas.openxmlformats.org/officeDocument/2006/relationships/hyperlink" Target="https://doi.org/10.1073/pnas.0804397105" TargetMode="External"/><Relationship Id="rId3" Type="http://schemas.openxmlformats.org/officeDocument/2006/relationships/hyperlink" Target="https://doi.org/10.1016/j.chemgeo.2020.119628" TargetMode="External"/><Relationship Id="rId21" Type="http://schemas.openxmlformats.org/officeDocument/2006/relationships/hyperlink" Target="https://doi.org/10.1016/j.resourpol.2019.101474" TargetMode="External"/><Relationship Id="rId7" Type="http://schemas.openxmlformats.org/officeDocument/2006/relationships/hyperlink" Target="https://doi.org/10.3389/fclim.2022.820261" TargetMode="External"/><Relationship Id="rId12" Type="http://schemas.openxmlformats.org/officeDocument/2006/relationships/hyperlink" Target="https://doi.org/10.1021/acs.iecr.2c00984" TargetMode="External"/><Relationship Id="rId17" Type="http://schemas.openxmlformats.org/officeDocument/2006/relationships/hyperlink" Target="https://doi.org/10.1016/j.ijggc.2017.12.008" TargetMode="External"/><Relationship Id="rId2" Type="http://schemas.openxmlformats.org/officeDocument/2006/relationships/hyperlink" Target="https://doi.org/10.1016/j.rser.2018.10.008" TargetMode="External"/><Relationship Id="rId16" Type="http://schemas.openxmlformats.org/officeDocument/2006/relationships/hyperlink" Target="https://doi.org/10.1016/j.egypro.2013.06.421" TargetMode="External"/><Relationship Id="rId20" Type="http://schemas.openxmlformats.org/officeDocument/2006/relationships/hyperlink" Target="https://doi.org/10.1029/2005JB004169" TargetMode="External"/><Relationship Id="rId1" Type="http://schemas.openxmlformats.org/officeDocument/2006/relationships/hyperlink" Target="https://doi.org/10.1038/s43017-019-0011-8" TargetMode="External"/><Relationship Id="rId6" Type="http://schemas.openxmlformats.org/officeDocument/2006/relationships/hyperlink" Target="https://doi.org/10.1039/D0SE00190B" TargetMode="External"/><Relationship Id="rId11" Type="http://schemas.openxmlformats.org/officeDocument/2006/relationships/hyperlink" Target="https://doi.org/10.1038/s43247-022-00390-0" TargetMode="External"/><Relationship Id="rId24" Type="http://schemas.openxmlformats.org/officeDocument/2006/relationships/hyperlink" Target="https://doi.org/10.1016/j.energy.2021.120467" TargetMode="External"/><Relationship Id="rId5" Type="http://schemas.openxmlformats.org/officeDocument/2006/relationships/hyperlink" Target="https://doi.org/10.1016/j.jclepro.2022.131750" TargetMode="External"/><Relationship Id="rId15" Type="http://schemas.openxmlformats.org/officeDocument/2006/relationships/hyperlink" Target="https://doi.org/10.1016/j.ijggc.2021.103458" TargetMode="External"/><Relationship Id="rId23" Type="http://schemas.openxmlformats.org/officeDocument/2006/relationships/hyperlink" Target="https://doi.org/10.1109/ACCESS.2021.3121000" TargetMode="External"/><Relationship Id="rId10" Type="http://schemas.openxmlformats.org/officeDocument/2006/relationships/hyperlink" Target="https://www.globalccsinstitute.com/archive/hub/publications/119816/costs-co2-storage-post-demonstration-ccs-eu.pdf" TargetMode="External"/><Relationship Id="rId19" Type="http://schemas.openxmlformats.org/officeDocument/2006/relationships/hyperlink" Target="https://doi.org/10.1016/j.egypro.2009.02.165" TargetMode="External"/><Relationship Id="rId4" Type="http://schemas.openxmlformats.org/officeDocument/2006/relationships/hyperlink" Target="https://doi.org/10.3389/fclim.2019.00009" TargetMode="External"/><Relationship Id="rId9" Type="http://schemas.openxmlformats.org/officeDocument/2006/relationships/hyperlink" Target="https://doi.org/10.1016/j.energy.2022.124629" TargetMode="External"/><Relationship Id="rId14" Type="http://schemas.openxmlformats.org/officeDocument/2006/relationships/hyperlink" Target="https://doi.org/10.3390/min9080485" TargetMode="External"/><Relationship Id="rId22" Type="http://schemas.openxmlformats.org/officeDocument/2006/relationships/hyperlink" Target="https://doi.org/10.1016/j.ccst.2023.100098"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EC4B-F051-401D-A58D-F1A29C611346}">
  <dimension ref="A1:D49"/>
  <sheetViews>
    <sheetView tabSelected="1" zoomScale="113" workbookViewId="0"/>
  </sheetViews>
  <sheetFormatPr defaultColWidth="8.6640625" defaultRowHeight="15"/>
  <cols>
    <col min="1" max="1" width="14.44140625" customWidth="1"/>
    <col min="2" max="2" width="47.5546875" customWidth="1"/>
  </cols>
  <sheetData>
    <row r="1" spans="1:4" ht="20.25">
      <c r="A1" s="89" t="s">
        <v>699</v>
      </c>
    </row>
    <row r="3" spans="1:4" ht="20.25">
      <c r="A3" s="89" t="s">
        <v>700</v>
      </c>
    </row>
    <row r="4" spans="1:4" ht="15.75">
      <c r="A4" s="87"/>
      <c r="B4" s="87"/>
    </row>
    <row r="5" spans="1:4" ht="18.75">
      <c r="A5" s="87" t="s">
        <v>701</v>
      </c>
      <c r="B5" s="87"/>
    </row>
    <row r="6" spans="1:4" ht="15.75">
      <c r="A6" s="87"/>
      <c r="B6" s="87"/>
    </row>
    <row r="7" spans="1:4" ht="18.75">
      <c r="A7" s="87" t="s">
        <v>702</v>
      </c>
      <c r="B7" s="87"/>
    </row>
    <row r="8" spans="1:4" ht="18.75">
      <c r="A8" s="87" t="s">
        <v>703</v>
      </c>
      <c r="B8" s="87"/>
    </row>
    <row r="9" spans="1:4" ht="15.75">
      <c r="A9" s="87"/>
      <c r="B9" s="87"/>
    </row>
    <row r="10" spans="1:4" ht="15.75">
      <c r="A10" s="87" t="s">
        <v>698</v>
      </c>
      <c r="B10" s="87"/>
    </row>
    <row r="11" spans="1:4" ht="15.75">
      <c r="A11" s="87"/>
      <c r="B11" s="87"/>
    </row>
    <row r="12" spans="1:4" ht="15.75">
      <c r="A12" s="88" t="s">
        <v>704</v>
      </c>
      <c r="B12" s="87"/>
    </row>
    <row r="13" spans="1:4" ht="15.75">
      <c r="A13" s="90"/>
      <c r="B13" s="90"/>
    </row>
    <row r="14" spans="1:4" ht="15.75">
      <c r="A14" s="91" t="s">
        <v>706</v>
      </c>
      <c r="B14" s="91" t="s">
        <v>707</v>
      </c>
    </row>
    <row r="15" spans="1:4" ht="15.75">
      <c r="A15" s="99" t="s">
        <v>705</v>
      </c>
      <c r="B15" s="99"/>
    </row>
    <row r="16" spans="1:4" ht="31.5">
      <c r="A16" s="95" t="s">
        <v>708</v>
      </c>
      <c r="B16" s="92" t="s">
        <v>709</v>
      </c>
      <c r="D16" s="96"/>
    </row>
    <row r="17" spans="1:4" ht="47.25">
      <c r="A17" s="95" t="s">
        <v>712</v>
      </c>
      <c r="B17" s="92" t="s">
        <v>713</v>
      </c>
      <c r="D17" s="96"/>
    </row>
    <row r="18" spans="1:4" ht="15.75">
      <c r="A18" s="95"/>
      <c r="B18" s="94"/>
    </row>
    <row r="19" spans="1:4" ht="15.75">
      <c r="A19" s="100" t="s">
        <v>710</v>
      </c>
      <c r="B19" s="100"/>
    </row>
    <row r="20" spans="1:4" ht="15.75">
      <c r="A20" s="95" t="s">
        <v>144</v>
      </c>
      <c r="B20" s="92" t="s">
        <v>714</v>
      </c>
    </row>
    <row r="21" spans="1:4" ht="15.75">
      <c r="A21" s="95" t="s">
        <v>86</v>
      </c>
      <c r="B21" s="92" t="s">
        <v>715</v>
      </c>
    </row>
    <row r="22" spans="1:4" ht="15.75">
      <c r="A22" s="95" t="s">
        <v>82</v>
      </c>
      <c r="B22" s="92" t="s">
        <v>716</v>
      </c>
    </row>
    <row r="23" spans="1:4" ht="15.75">
      <c r="A23" s="95" t="s">
        <v>122</v>
      </c>
      <c r="B23" s="92" t="s">
        <v>717</v>
      </c>
    </row>
    <row r="24" spans="1:4" ht="15.75">
      <c r="A24" s="95" t="s">
        <v>596</v>
      </c>
      <c r="B24" s="92" t="s">
        <v>718</v>
      </c>
    </row>
    <row r="25" spans="1:4" ht="15.75">
      <c r="A25" s="95" t="s">
        <v>719</v>
      </c>
      <c r="B25" s="92" t="s">
        <v>720</v>
      </c>
    </row>
    <row r="26" spans="1:4" ht="31.5">
      <c r="A26" s="95" t="s">
        <v>721</v>
      </c>
      <c r="B26" s="92" t="s">
        <v>722</v>
      </c>
    </row>
    <row r="27" spans="1:4" ht="31.5">
      <c r="A27" s="95" t="s">
        <v>723</v>
      </c>
      <c r="B27" s="92" t="s">
        <v>724</v>
      </c>
    </row>
    <row r="28" spans="1:4" ht="31.5">
      <c r="A28" s="95" t="s">
        <v>725</v>
      </c>
      <c r="B28" s="92" t="s">
        <v>726</v>
      </c>
    </row>
    <row r="29" spans="1:4" ht="15.75">
      <c r="A29" s="95" t="s">
        <v>118</v>
      </c>
      <c r="B29" s="92" t="s">
        <v>727</v>
      </c>
    </row>
    <row r="30" spans="1:4" ht="15.75">
      <c r="A30" s="95" t="s">
        <v>119</v>
      </c>
      <c r="B30" s="92" t="s">
        <v>728</v>
      </c>
    </row>
    <row r="31" spans="1:4" ht="15.75">
      <c r="A31" s="95" t="s">
        <v>120</v>
      </c>
      <c r="B31" s="92" t="s">
        <v>729</v>
      </c>
    </row>
    <row r="32" spans="1:4" ht="15.75">
      <c r="A32" s="95" t="s">
        <v>730</v>
      </c>
      <c r="B32" s="92" t="s">
        <v>733</v>
      </c>
    </row>
    <row r="33" spans="1:2" ht="15.75">
      <c r="A33" s="95" t="s">
        <v>731</v>
      </c>
      <c r="B33" s="92" t="s">
        <v>734</v>
      </c>
    </row>
    <row r="34" spans="1:2" ht="31.5">
      <c r="A34" s="95" t="s">
        <v>732</v>
      </c>
      <c r="B34" s="92" t="s">
        <v>735</v>
      </c>
    </row>
    <row r="35" spans="1:2" ht="15.75">
      <c r="A35" s="76"/>
      <c r="B35" s="92"/>
    </row>
    <row r="36" spans="1:2" ht="15.75">
      <c r="A36" s="100" t="s">
        <v>736</v>
      </c>
      <c r="B36" s="100"/>
    </row>
    <row r="37" spans="1:2" ht="15.75">
      <c r="A37" s="95" t="s">
        <v>736</v>
      </c>
      <c r="B37" s="92" t="s">
        <v>737</v>
      </c>
    </row>
    <row r="38" spans="1:2" ht="15.75">
      <c r="A38" s="76"/>
      <c r="B38" s="92"/>
    </row>
    <row r="39" spans="1:2" ht="15.75">
      <c r="A39" s="76"/>
      <c r="B39" s="92"/>
    </row>
    <row r="40" spans="1:2" ht="15.75">
      <c r="A40" s="76"/>
      <c r="B40" s="92"/>
    </row>
    <row r="41" spans="1:2" ht="15.75">
      <c r="A41" s="76"/>
      <c r="B41" s="92"/>
    </row>
    <row r="42" spans="1:2" ht="15.75">
      <c r="A42" s="76"/>
      <c r="B42" s="92"/>
    </row>
    <row r="43" spans="1:2" ht="15.75">
      <c r="A43" s="76"/>
      <c r="B43" s="92"/>
    </row>
    <row r="44" spans="1:2" ht="15.75">
      <c r="A44" s="76"/>
      <c r="B44" s="92"/>
    </row>
    <row r="45" spans="1:2" ht="15.75">
      <c r="A45" s="76"/>
      <c r="B45" s="92"/>
    </row>
    <row r="46" spans="1:2" ht="15.75">
      <c r="A46" s="76"/>
      <c r="B46" s="92"/>
    </row>
    <row r="47" spans="1:2" ht="15.75">
      <c r="B47" s="92"/>
    </row>
    <row r="48" spans="1:2" ht="15.75">
      <c r="B48" s="92"/>
    </row>
    <row r="49" spans="2:2">
      <c r="B49" s="93"/>
    </row>
  </sheetData>
  <mergeCells count="3">
    <mergeCell ref="A15:B15"/>
    <mergeCell ref="A19:B19"/>
    <mergeCell ref="A36:B36"/>
  </mergeCells>
  <hyperlinks>
    <hyperlink ref="A16" location="OverviewResults!A1" display="OverviewResults" xr:uid="{29C2A953-DC01-47DD-9AE3-50F7DB997E76}"/>
    <hyperlink ref="A17" location="'TotalCost&amp;Energy'!A1" display="TotalCost&amp;Energy" xr:uid="{71973897-E9B3-9241-A85A-9FAE946E9E70}"/>
    <hyperlink ref="A20" location="Global!A1" display="Global" xr:uid="{A3B77538-AB28-8341-9CAB-A216A9A05526}"/>
    <hyperlink ref="A21" location="MININ!A1" display="MININ" xr:uid="{62321F59-08F8-9C47-8CB2-463C680E5EAF}"/>
    <hyperlink ref="A22" location="MINEX!A1" display="MINEX" xr:uid="{C1E775FC-D027-7140-874E-D12F4FA9427C}"/>
    <hyperlink ref="A23" location="EW!A1" display="EW" xr:uid="{8729D7A6-E048-FD47-BC85-2837B13C2A32}"/>
    <hyperlink ref="A24" location="DAC!A1" display="DAC" xr:uid="{1839AD8D-9A10-F443-A1C1-75AFC26F8B11}"/>
    <hyperlink ref="A25" location="'Heat Pump'!A1" display="Heat Pump" xr:uid="{FA3F862C-956F-234D-B6B3-24AE7DB32C87}"/>
    <hyperlink ref="A26" location="MININ_Pot!A1" display="MININ_Pot" xr:uid="{F2BE5934-727C-904B-8C5A-D0C12F42936A}"/>
    <hyperlink ref="A27" location="MINEX_IW_Pot!A1" display="MINEX_IW_Pot" xr:uid="{C6D3A1DB-AEEB-8C42-BB69-C5F746F44ABC}"/>
    <hyperlink ref="A28" location="EW_Pot!A1" display="EW_Pot" xr:uid="{BC9B5293-65F6-D543-829D-AE96766ABA82}"/>
    <hyperlink ref="A29" location="Mining!A1" display="Mining" xr:uid="{82AE17C2-B5F3-A84A-B3A8-CCFCA9DF063B}"/>
    <hyperlink ref="A30" location="Transport!A1" display="Transport" xr:uid="{EDD691AD-93D7-F340-8654-9D3DBC81D0E0}"/>
    <hyperlink ref="A31" location="Comminution!A1" display="Comminution" xr:uid="{1051DA62-41C7-E340-8F7A-9376235FB668}"/>
    <hyperlink ref="A32" location="'Rock Handling'!A1" display="Rock Handling" xr:uid="{5D90EE26-C3D6-2141-93AC-68E7D3F06971}"/>
    <hyperlink ref="A33" location="Conversion!A1" display="Conversion" xr:uid="{D7976BDE-D897-DB48-AFF3-92257BD3BCF8}"/>
    <hyperlink ref="A34" location="Learning!A1" display="Learning" xr:uid="{1B747EEC-933F-C74D-A0CD-8E03D89BEFB6}"/>
    <hyperlink ref="A37" location="References!A1" display="References" xr:uid="{5EC45165-FB6A-F542-81D2-69C28576F9F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8B237-2216-F54C-8F73-6C47069A3F4B}">
  <dimension ref="A2:AB42"/>
  <sheetViews>
    <sheetView topLeftCell="C42" zoomScale="132" zoomScaleNormal="80" workbookViewId="0">
      <selection activeCell="J62" sqref="J62"/>
    </sheetView>
  </sheetViews>
  <sheetFormatPr defaultColWidth="11.5546875" defaultRowHeight="15"/>
  <sheetData>
    <row r="2" spans="2: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2:28">
      <c r="J3" t="s">
        <v>281</v>
      </c>
      <c r="K3" s="2"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2: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5" spans="2:28">
      <c r="J5" t="s">
        <v>286</v>
      </c>
      <c r="K5" t="s">
        <v>18</v>
      </c>
      <c r="L5" s="8">
        <f>'Heat Pump'!L21</f>
        <v>31.307805855611274</v>
      </c>
      <c r="M5" s="8">
        <f>'Heat Pump'!M21</f>
        <v>30.416236560494667</v>
      </c>
      <c r="N5" s="8">
        <f>'Heat Pump'!N21</f>
        <v>29.585615229120528</v>
      </c>
      <c r="O5" s="8">
        <f>'Heat Pump'!O21</f>
        <v>27.849748754278188</v>
      </c>
      <c r="P5" s="8">
        <f>'Heat Pump'!P21</f>
        <v>23.919621590160457</v>
      </c>
      <c r="Q5" s="8">
        <f>'Heat Pump'!Q21</f>
        <v>19.200512394758157</v>
      </c>
      <c r="R5" s="8">
        <f>'Heat Pump'!R21</f>
        <v>14.27121729113917</v>
      </c>
      <c r="S5" s="8">
        <f>'Heat Pump'!S21</f>
        <v>13.804357412106913</v>
      </c>
      <c r="T5" s="8">
        <f>'Heat Pump'!T21</f>
        <v>13.36579207119782</v>
      </c>
      <c r="U5" s="8">
        <f>'Heat Pump'!U21</f>
        <v>12.953024691518676</v>
      </c>
      <c r="V5" s="8">
        <f>'Heat Pump'!V21</f>
        <v>12.563844019249771</v>
      </c>
      <c r="W5" s="8">
        <f>'Heat Pump'!W21</f>
        <v>12.563844019249771</v>
      </c>
      <c r="X5" s="8">
        <f>'Heat Pump'!X21</f>
        <v>12.563844019249771</v>
      </c>
      <c r="Y5" s="8">
        <f>'Heat Pump'!Y21</f>
        <v>12.563844019249771</v>
      </c>
      <c r="Z5" s="8">
        <f>'Heat Pump'!Z21</f>
        <v>12.563844019249771</v>
      </c>
      <c r="AA5" s="8">
        <f>'Heat Pump'!AA21</f>
        <v>12.563844019249771</v>
      </c>
      <c r="AB5" s="8">
        <f>'Heat Pump'!AB21</f>
        <v>12.563844019249771</v>
      </c>
    </row>
    <row r="6" spans="2:28">
      <c r="J6" t="s">
        <v>103</v>
      </c>
      <c r="K6" t="s">
        <v>18</v>
      </c>
      <c r="L6" s="8">
        <f>L4</f>
        <v>41.3</v>
      </c>
      <c r="M6" s="8">
        <f t="shared" ref="M6:AB6" si="0">M4</f>
        <v>41.3</v>
      </c>
      <c r="N6" s="8">
        <f t="shared" si="0"/>
        <v>41.3</v>
      </c>
      <c r="O6" s="8">
        <f t="shared" si="0"/>
        <v>39.15</v>
      </c>
      <c r="P6" s="8">
        <f t="shared" si="0"/>
        <v>37</v>
      </c>
      <c r="Q6" s="8">
        <f t="shared" si="0"/>
        <v>26.95</v>
      </c>
      <c r="R6" s="8">
        <f t="shared" si="0"/>
        <v>16.899999999999999</v>
      </c>
      <c r="S6" s="8">
        <f t="shared" si="0"/>
        <v>16.25</v>
      </c>
      <c r="T6" s="8">
        <f t="shared" si="0"/>
        <v>15.6</v>
      </c>
      <c r="U6" s="8">
        <f t="shared" si="0"/>
        <v>14.95</v>
      </c>
      <c r="V6" s="8">
        <f t="shared" si="0"/>
        <v>14.3</v>
      </c>
      <c r="W6" s="8">
        <f t="shared" si="0"/>
        <v>14.3</v>
      </c>
      <c r="X6" s="8">
        <f t="shared" si="0"/>
        <v>14.3</v>
      </c>
      <c r="Y6" s="8">
        <f t="shared" si="0"/>
        <v>14.3</v>
      </c>
      <c r="Z6" s="8">
        <f t="shared" si="0"/>
        <v>14.3</v>
      </c>
      <c r="AA6" s="8">
        <f t="shared" si="0"/>
        <v>14.3</v>
      </c>
      <c r="AB6" s="8">
        <f t="shared" si="0"/>
        <v>14.3</v>
      </c>
    </row>
    <row r="8" spans="2:28" ht="15.75">
      <c r="B8" s="25" t="s">
        <v>756</v>
      </c>
      <c r="C8" s="13" t="s">
        <v>598</v>
      </c>
      <c r="D8" s="4"/>
      <c r="E8" s="4"/>
      <c r="F8" s="4"/>
      <c r="G8" s="4"/>
      <c r="H8" s="4"/>
      <c r="I8" s="14"/>
      <c r="J8" s="13" t="s">
        <v>599</v>
      </c>
      <c r="K8" s="4"/>
      <c r="L8" s="4"/>
      <c r="M8" s="4"/>
      <c r="N8" s="4"/>
      <c r="O8" s="4"/>
      <c r="P8" s="4"/>
      <c r="Q8" s="4"/>
      <c r="R8" s="4"/>
      <c r="S8" s="4"/>
      <c r="T8" s="4"/>
      <c r="U8" s="4"/>
      <c r="V8" s="4"/>
      <c r="W8" s="4"/>
      <c r="X8" s="4"/>
      <c r="Y8" s="4"/>
      <c r="Z8" s="4"/>
      <c r="AA8" s="4"/>
      <c r="AB8" s="4"/>
    </row>
    <row r="9" spans="2:28" ht="16.5" thickBot="1">
      <c r="C9" s="43" t="s">
        <v>8</v>
      </c>
      <c r="D9" s="43" t="s">
        <v>9</v>
      </c>
      <c r="E9" s="43" t="s">
        <v>10</v>
      </c>
      <c r="F9" s="43" t="s">
        <v>11</v>
      </c>
      <c r="G9" s="43" t="s">
        <v>12</v>
      </c>
      <c r="H9" s="43" t="s">
        <v>13</v>
      </c>
      <c r="I9" s="44"/>
      <c r="J9" s="43" t="s">
        <v>8</v>
      </c>
      <c r="K9" s="43" t="s">
        <v>11</v>
      </c>
      <c r="L9" s="43">
        <v>2020</v>
      </c>
      <c r="M9" s="43">
        <v>2025</v>
      </c>
      <c r="N9" s="43">
        <v>2030</v>
      </c>
      <c r="O9" s="43">
        <v>2035</v>
      </c>
      <c r="P9" s="43">
        <v>2040</v>
      </c>
      <c r="Q9" s="43">
        <v>2045</v>
      </c>
      <c r="R9" s="43">
        <v>2050</v>
      </c>
      <c r="S9" s="43">
        <v>2055</v>
      </c>
      <c r="T9" s="43">
        <v>2060</v>
      </c>
      <c r="U9" s="43">
        <v>2065</v>
      </c>
      <c r="V9" s="43">
        <v>2070</v>
      </c>
      <c r="W9" s="43">
        <v>2075</v>
      </c>
      <c r="X9" s="43">
        <v>2080</v>
      </c>
      <c r="Y9" s="43">
        <v>2085</v>
      </c>
      <c r="Z9" s="43">
        <v>2090</v>
      </c>
      <c r="AA9" s="43">
        <v>2095</v>
      </c>
      <c r="AB9" s="43">
        <v>2100</v>
      </c>
    </row>
    <row r="10" spans="2:28">
      <c r="C10" t="s">
        <v>14</v>
      </c>
      <c r="H10" s="25" t="s">
        <v>711</v>
      </c>
      <c r="I10" s="58"/>
      <c r="J10" t="s">
        <v>14</v>
      </c>
      <c r="K10" t="s">
        <v>44</v>
      </c>
      <c r="L10" s="8"/>
      <c r="M10" s="8"/>
      <c r="N10" s="8"/>
      <c r="O10" s="8"/>
      <c r="P10" s="8"/>
      <c r="Q10" s="8"/>
      <c r="R10" s="8"/>
      <c r="S10" s="8"/>
      <c r="T10" s="8"/>
      <c r="U10" s="8"/>
      <c r="V10" s="8"/>
      <c r="W10" s="8"/>
      <c r="X10" s="8"/>
      <c r="Y10" s="8"/>
      <c r="Z10" s="8"/>
      <c r="AA10" s="8"/>
      <c r="AB10" s="8"/>
    </row>
    <row r="11" spans="2:28">
      <c r="C11" t="s">
        <v>19</v>
      </c>
      <c r="E11" s="1"/>
      <c r="I11" s="15"/>
      <c r="J11" t="s">
        <v>19</v>
      </c>
      <c r="K11" t="s">
        <v>45</v>
      </c>
      <c r="L11" s="8"/>
      <c r="M11" s="8"/>
      <c r="N11" s="8"/>
      <c r="O11" s="8"/>
      <c r="P11" s="8"/>
      <c r="Q11" s="8"/>
      <c r="R11" s="8"/>
      <c r="S11" s="8"/>
      <c r="T11" s="8"/>
      <c r="U11" s="8"/>
      <c r="V11" s="8"/>
      <c r="W11" s="8"/>
      <c r="X11" s="8"/>
      <c r="Y11" s="8"/>
      <c r="Z11" s="8"/>
      <c r="AA11" s="8"/>
      <c r="AB11" s="8"/>
    </row>
    <row r="12" spans="2:28">
      <c r="C12" t="s">
        <v>20</v>
      </c>
      <c r="I12" s="15"/>
      <c r="J12" t="s">
        <v>20</v>
      </c>
      <c r="K12" t="s">
        <v>45</v>
      </c>
    </row>
    <row r="13" spans="2:28">
      <c r="C13" t="s">
        <v>15</v>
      </c>
      <c r="I13" s="15"/>
      <c r="J13" t="s">
        <v>15</v>
      </c>
      <c r="K13" t="s">
        <v>21</v>
      </c>
    </row>
    <row r="14" spans="2:28">
      <c r="C14" t="s">
        <v>16</v>
      </c>
      <c r="I14" s="15"/>
      <c r="J14" t="s">
        <v>16</v>
      </c>
      <c r="K14" t="s">
        <v>22</v>
      </c>
    </row>
    <row r="15" spans="2:28">
      <c r="C15" t="s">
        <v>29</v>
      </c>
      <c r="D15" s="2"/>
      <c r="E15" s="1"/>
      <c r="F15" s="2"/>
      <c r="I15" s="15"/>
      <c r="J15" t="s">
        <v>29</v>
      </c>
      <c r="K15" s="2" t="s">
        <v>7</v>
      </c>
    </row>
    <row r="16" spans="2:28">
      <c r="D16" s="2"/>
      <c r="F16" s="2"/>
      <c r="I16" s="15"/>
      <c r="J16" t="s">
        <v>17</v>
      </c>
      <c r="K16" s="2" t="s">
        <v>7</v>
      </c>
      <c r="L16" s="6"/>
      <c r="M16" s="6"/>
      <c r="N16" s="6"/>
      <c r="O16" s="6"/>
      <c r="P16" s="6"/>
      <c r="Q16" s="6"/>
      <c r="R16" s="6"/>
      <c r="S16" s="6"/>
      <c r="T16" s="6"/>
      <c r="U16" s="6"/>
      <c r="V16" s="6"/>
      <c r="W16" s="6"/>
      <c r="X16" s="6"/>
      <c r="Y16" s="6"/>
      <c r="Z16" s="6"/>
      <c r="AA16" s="6"/>
      <c r="AB16" s="6"/>
    </row>
    <row r="17" spans="2:28">
      <c r="B17">
        <v>1</v>
      </c>
      <c r="I17" s="15"/>
      <c r="J17" s="4" t="s">
        <v>602</v>
      </c>
      <c r="K17" s="4" t="s">
        <v>45</v>
      </c>
      <c r="L17" s="7">
        <f>94.8789080442832*B17</f>
        <v>94.878908044283193</v>
      </c>
      <c r="M17" s="7">
        <v>85.250700002585873</v>
      </c>
      <c r="N17" s="7">
        <v>61.37187589190227</v>
      </c>
      <c r="O17" s="7">
        <v>48.361807933904572</v>
      </c>
      <c r="P17" s="7">
        <v>28.78694979201266</v>
      </c>
      <c r="Q17" s="7">
        <v>24.019759134799383</v>
      </c>
      <c r="R17" s="7">
        <v>21.079767502771794</v>
      </c>
      <c r="S17" s="7">
        <v>19.01085046947945</v>
      </c>
      <c r="T17" s="7">
        <v>17.851104962691693</v>
      </c>
      <c r="U17" s="7">
        <v>17.452515241465154</v>
      </c>
      <c r="V17" s="7">
        <v>17.221680140426525</v>
      </c>
      <c r="W17" s="7">
        <v>16.970543818119832</v>
      </c>
      <c r="X17" s="7">
        <v>16.602154216233046</v>
      </c>
      <c r="Y17" s="7">
        <v>16.119665912971762</v>
      </c>
      <c r="Z17" s="7">
        <v>15.716419624907067</v>
      </c>
      <c r="AA17" s="7">
        <v>15.544937797215141</v>
      </c>
      <c r="AB17" s="7">
        <v>15.437214294724091</v>
      </c>
    </row>
    <row r="18" spans="2:28">
      <c r="B18">
        <v>1</v>
      </c>
      <c r="I18" s="15"/>
      <c r="J18" t="s">
        <v>23</v>
      </c>
      <c r="K18" t="s">
        <v>26</v>
      </c>
      <c r="L18" s="8">
        <f>L29/1000*B18</f>
        <v>0.25</v>
      </c>
      <c r="M18" s="8">
        <f t="shared" ref="M18:AB18" si="1">M29/1000</f>
        <v>0.25</v>
      </c>
      <c r="N18" s="8">
        <f t="shared" si="1"/>
        <v>0.22500000000000001</v>
      </c>
      <c r="O18" s="8">
        <f t="shared" si="1"/>
        <v>0.22500000000000001</v>
      </c>
      <c r="P18" s="8">
        <f t="shared" si="1"/>
        <v>0.20300000000000001</v>
      </c>
      <c r="Q18" s="8">
        <f t="shared" si="1"/>
        <v>0.20300000000000001</v>
      </c>
      <c r="R18" s="8">
        <f t="shared" si="1"/>
        <v>0.182</v>
      </c>
      <c r="S18" s="8">
        <f t="shared" si="1"/>
        <v>0.182</v>
      </c>
      <c r="T18" s="8">
        <f t="shared" si="1"/>
        <v>0.182</v>
      </c>
      <c r="U18" s="8">
        <f t="shared" si="1"/>
        <v>0.182</v>
      </c>
      <c r="V18" s="8">
        <f t="shared" si="1"/>
        <v>0.182</v>
      </c>
      <c r="W18" s="8">
        <f t="shared" si="1"/>
        <v>0.182</v>
      </c>
      <c r="X18" s="8">
        <f t="shared" si="1"/>
        <v>0.182</v>
      </c>
      <c r="Y18" s="8">
        <f t="shared" si="1"/>
        <v>0.182</v>
      </c>
      <c r="Z18" s="8">
        <f t="shared" si="1"/>
        <v>0.182</v>
      </c>
      <c r="AA18" s="8">
        <f t="shared" si="1"/>
        <v>0.182</v>
      </c>
      <c r="AB18" s="8">
        <f t="shared" si="1"/>
        <v>0.182</v>
      </c>
    </row>
    <row r="19" spans="2:28">
      <c r="B19">
        <v>1</v>
      </c>
      <c r="I19" s="15"/>
      <c r="J19" t="s">
        <v>24</v>
      </c>
      <c r="K19" t="s">
        <v>27</v>
      </c>
      <c r="L19" s="8">
        <f>L30/1000*B19</f>
        <v>1.75</v>
      </c>
      <c r="M19" s="8">
        <f t="shared" ref="M19:AB19" si="2">M30/1000</f>
        <v>1.75</v>
      </c>
      <c r="N19" s="8">
        <f t="shared" si="2"/>
        <v>1.5</v>
      </c>
      <c r="O19" s="8">
        <f t="shared" si="2"/>
        <v>1.5</v>
      </c>
      <c r="P19" s="8">
        <f t="shared" si="2"/>
        <v>1.286</v>
      </c>
      <c r="Q19" s="8">
        <f t="shared" si="2"/>
        <v>1.286</v>
      </c>
      <c r="R19" s="8">
        <f t="shared" si="2"/>
        <v>1.1020000000000001</v>
      </c>
      <c r="S19" s="8">
        <f t="shared" si="2"/>
        <v>1.1020000000000001</v>
      </c>
      <c r="T19" s="8">
        <f t="shared" si="2"/>
        <v>1.1020000000000001</v>
      </c>
      <c r="U19" s="8">
        <f t="shared" si="2"/>
        <v>1.1020000000000001</v>
      </c>
      <c r="V19" s="8">
        <f t="shared" si="2"/>
        <v>1.1020000000000001</v>
      </c>
      <c r="W19" s="8">
        <f t="shared" si="2"/>
        <v>1.1020000000000001</v>
      </c>
      <c r="X19" s="8">
        <f t="shared" si="2"/>
        <v>1.1020000000000001</v>
      </c>
      <c r="Y19" s="8">
        <f t="shared" si="2"/>
        <v>1.1020000000000001</v>
      </c>
      <c r="Z19" s="8">
        <f t="shared" si="2"/>
        <v>1.1020000000000001</v>
      </c>
      <c r="AA19" s="8">
        <f t="shared" si="2"/>
        <v>1.1020000000000001</v>
      </c>
      <c r="AB19" s="8">
        <f t="shared" si="2"/>
        <v>1.1020000000000001</v>
      </c>
    </row>
    <row r="20" spans="2:28">
      <c r="I20" s="15"/>
      <c r="J20" t="s">
        <v>25</v>
      </c>
      <c r="K20" t="s">
        <v>27</v>
      </c>
      <c r="L20">
        <f t="shared" ref="L20" si="3">G20</f>
        <v>0</v>
      </c>
      <c r="M20">
        <f t="shared" ref="M20:AB20" si="4">L20</f>
        <v>0</v>
      </c>
      <c r="N20">
        <f t="shared" si="4"/>
        <v>0</v>
      </c>
      <c r="O20">
        <f t="shared" si="4"/>
        <v>0</v>
      </c>
      <c r="P20">
        <f t="shared" si="4"/>
        <v>0</v>
      </c>
      <c r="Q20">
        <f t="shared" si="4"/>
        <v>0</v>
      </c>
      <c r="R20">
        <f t="shared" si="4"/>
        <v>0</v>
      </c>
      <c r="S20">
        <f t="shared" si="4"/>
        <v>0</v>
      </c>
      <c r="T20">
        <f t="shared" si="4"/>
        <v>0</v>
      </c>
      <c r="U20">
        <f t="shared" si="4"/>
        <v>0</v>
      </c>
      <c r="V20">
        <f t="shared" si="4"/>
        <v>0</v>
      </c>
      <c r="W20">
        <f t="shared" si="4"/>
        <v>0</v>
      </c>
      <c r="X20">
        <f t="shared" si="4"/>
        <v>0</v>
      </c>
      <c r="Y20">
        <f t="shared" si="4"/>
        <v>0</v>
      </c>
      <c r="Z20">
        <f t="shared" si="4"/>
        <v>0</v>
      </c>
      <c r="AA20">
        <f t="shared" si="4"/>
        <v>0</v>
      </c>
      <c r="AB20">
        <f t="shared" si="4"/>
        <v>0</v>
      </c>
    </row>
    <row r="21" spans="2:28">
      <c r="I21" s="15"/>
      <c r="J21" s="4" t="s">
        <v>600</v>
      </c>
      <c r="K21" s="4" t="s">
        <v>45</v>
      </c>
      <c r="L21" s="7">
        <f>L17+L18*L$4+L19*L5</f>
        <v>159.99256829160294</v>
      </c>
      <c r="M21" s="7">
        <f t="shared" ref="M21:AB21" si="5">M17+M18*M$4+M19*M5</f>
        <v>148.80411398345154</v>
      </c>
      <c r="N21" s="7">
        <f t="shared" si="5"/>
        <v>115.04279873558306</v>
      </c>
      <c r="O21" s="7">
        <f t="shared" si="5"/>
        <v>98.945181065321862</v>
      </c>
      <c r="P21" s="7">
        <f t="shared" si="5"/>
        <v>67.058583156959003</v>
      </c>
      <c r="Q21" s="7">
        <f t="shared" si="5"/>
        <v>54.18246807445837</v>
      </c>
      <c r="R21" s="7">
        <f t="shared" si="5"/>
        <v>39.88244895760716</v>
      </c>
      <c r="S21" s="7">
        <f t="shared" si="5"/>
        <v>37.180752337621271</v>
      </c>
      <c r="T21" s="7">
        <f t="shared" si="5"/>
        <v>35.419407825151694</v>
      </c>
      <c r="U21" s="7">
        <f t="shared" si="5"/>
        <v>34.447648451518738</v>
      </c>
      <c r="V21" s="7">
        <f t="shared" si="5"/>
        <v>33.669636249639773</v>
      </c>
      <c r="W21" s="7">
        <f t="shared" si="5"/>
        <v>33.41849992733308</v>
      </c>
      <c r="X21" s="7">
        <f t="shared" si="5"/>
        <v>33.050110325446298</v>
      </c>
      <c r="Y21" s="7">
        <f t="shared" si="5"/>
        <v>32.567622022185006</v>
      </c>
      <c r="Z21" s="7">
        <f t="shared" si="5"/>
        <v>32.164375734120313</v>
      </c>
      <c r="AA21" s="7">
        <f t="shared" si="5"/>
        <v>31.992893906428389</v>
      </c>
      <c r="AB21" s="7">
        <f t="shared" si="5"/>
        <v>31.885170403937341</v>
      </c>
    </row>
    <row r="22" spans="2:28">
      <c r="E22" s="5"/>
      <c r="G22" s="5"/>
      <c r="H22" s="5"/>
      <c r="I22" s="15"/>
      <c r="J22" t="s">
        <v>47</v>
      </c>
      <c r="K22" t="s">
        <v>48</v>
      </c>
      <c r="L22">
        <f>G22</f>
        <v>0</v>
      </c>
      <c r="M22">
        <f>L22</f>
        <v>0</v>
      </c>
      <c r="N22">
        <f t="shared" ref="N22:AB22" si="6">M22</f>
        <v>0</v>
      </c>
      <c r="O22">
        <f t="shared" si="6"/>
        <v>0</v>
      </c>
      <c r="P22">
        <f t="shared" si="6"/>
        <v>0</v>
      </c>
      <c r="Q22">
        <f t="shared" si="6"/>
        <v>0</v>
      </c>
      <c r="R22">
        <f t="shared" si="6"/>
        <v>0</v>
      </c>
      <c r="S22">
        <f t="shared" si="6"/>
        <v>0</v>
      </c>
      <c r="T22">
        <f t="shared" si="6"/>
        <v>0</v>
      </c>
      <c r="U22">
        <f t="shared" si="6"/>
        <v>0</v>
      </c>
      <c r="V22">
        <f t="shared" si="6"/>
        <v>0</v>
      </c>
      <c r="W22">
        <f t="shared" si="6"/>
        <v>0</v>
      </c>
      <c r="X22">
        <f t="shared" si="6"/>
        <v>0</v>
      </c>
      <c r="Y22">
        <f t="shared" si="6"/>
        <v>0</v>
      </c>
      <c r="Z22">
        <f t="shared" si="6"/>
        <v>0</v>
      </c>
      <c r="AA22">
        <f t="shared" si="6"/>
        <v>0</v>
      </c>
      <c r="AB22">
        <f t="shared" si="6"/>
        <v>0</v>
      </c>
    </row>
    <row r="23" spans="2:28">
      <c r="I23" s="15"/>
    </row>
    <row r="24" spans="2:28">
      <c r="I24" s="15"/>
    </row>
    <row r="29" spans="2:28">
      <c r="L29">
        <v>250</v>
      </c>
      <c r="M29">
        <v>250</v>
      </c>
      <c r="N29">
        <v>225</v>
      </c>
      <c r="O29">
        <v>225</v>
      </c>
      <c r="P29">
        <v>203</v>
      </c>
      <c r="Q29">
        <v>203</v>
      </c>
      <c r="R29">
        <v>182</v>
      </c>
      <c r="S29">
        <v>182</v>
      </c>
      <c r="T29">
        <v>182</v>
      </c>
      <c r="U29">
        <v>182</v>
      </c>
      <c r="V29">
        <v>182</v>
      </c>
      <c r="W29">
        <v>182</v>
      </c>
      <c r="X29">
        <v>182</v>
      </c>
      <c r="Y29">
        <v>182</v>
      </c>
      <c r="Z29">
        <v>182</v>
      </c>
      <c r="AA29">
        <v>182</v>
      </c>
      <c r="AB29">
        <v>182</v>
      </c>
    </row>
    <row r="30" spans="2:28">
      <c r="L30">
        <v>1750</v>
      </c>
      <c r="M30">
        <v>1750</v>
      </c>
      <c r="N30">
        <v>1500</v>
      </c>
      <c r="O30">
        <v>1500</v>
      </c>
      <c r="P30">
        <v>1286</v>
      </c>
      <c r="Q30">
        <v>1286</v>
      </c>
      <c r="R30">
        <v>1102</v>
      </c>
      <c r="S30">
        <v>1102</v>
      </c>
      <c r="T30">
        <v>1102</v>
      </c>
      <c r="U30">
        <v>1102</v>
      </c>
      <c r="V30">
        <v>1102</v>
      </c>
      <c r="W30">
        <v>1102</v>
      </c>
      <c r="X30">
        <v>1102</v>
      </c>
      <c r="Y30">
        <v>1102</v>
      </c>
      <c r="Z30">
        <v>1102</v>
      </c>
      <c r="AA30">
        <v>1102</v>
      </c>
      <c r="AB30">
        <v>1102</v>
      </c>
    </row>
    <row r="34" spans="1:17">
      <c r="A34" t="s">
        <v>759</v>
      </c>
    </row>
    <row r="35" spans="1:17">
      <c r="B35" t="s">
        <v>602</v>
      </c>
      <c r="H35" t="s">
        <v>653</v>
      </c>
      <c r="N35" t="s">
        <v>757</v>
      </c>
    </row>
    <row r="36" spans="1:17">
      <c r="C36" t="s">
        <v>596</v>
      </c>
      <c r="I36" t="s">
        <v>596</v>
      </c>
      <c r="O36" t="s">
        <v>596</v>
      </c>
    </row>
    <row r="37" spans="1:17">
      <c r="C37" s="11">
        <f>L21</f>
        <v>159.99256829160294</v>
      </c>
      <c r="D37" s="11"/>
      <c r="I37" s="11">
        <f>L21</f>
        <v>159.99256829160294</v>
      </c>
      <c r="J37" s="11"/>
      <c r="O37" s="11">
        <f>L21</f>
        <v>159.99256829160294</v>
      </c>
      <c r="P37" s="11"/>
    </row>
    <row r="38" spans="1:17">
      <c r="B38">
        <v>0.5</v>
      </c>
      <c r="C38">
        <f t="dataTable" ref="C38:C42" dt2D="0" dtr="0" r1="B17"/>
        <v>112.55311426946133</v>
      </c>
      <c r="E38">
        <f>C38/C$37</f>
        <v>0.7034896399957884</v>
      </c>
      <c r="H38">
        <v>0.5</v>
      </c>
      <c r="I38">
        <f t="dataTable" ref="I38:I42" dt2D="0" dtr="0" r1="B18" ca="1"/>
        <v>154.83006829160291</v>
      </c>
      <c r="K38">
        <f>I38/I$37</f>
        <v>0.96773287625090909</v>
      </c>
      <c r="N38">
        <v>0.5</v>
      </c>
      <c r="O38">
        <f t="dataTable" ref="O38:O42" dt2D="0" dtr="0" r1="B19" ca="1"/>
        <v>132.59823816794307</v>
      </c>
      <c r="Q38">
        <f>O38/O$37</f>
        <v>0.82877748375330229</v>
      </c>
    </row>
    <row r="39" spans="1:17">
      <c r="B39">
        <v>0.75</v>
      </c>
      <c r="C39">
        <v>136.27284128053213</v>
      </c>
      <c r="E39">
        <f t="shared" ref="E39:E42" si="7">C39/C$37</f>
        <v>0.8517448199978942</v>
      </c>
      <c r="H39">
        <v>0.75</v>
      </c>
      <c r="I39">
        <v>157.41131829160292</v>
      </c>
      <c r="K39">
        <f t="shared" ref="K39:K42" si="8">I39/I$37</f>
        <v>0.9838664381254546</v>
      </c>
      <c r="N39">
        <v>0.75</v>
      </c>
      <c r="O39">
        <v>146.295403229773</v>
      </c>
      <c r="Q39">
        <f t="shared" ref="Q39:Q42" si="9">O39/O$37</f>
        <v>0.9143887418766512</v>
      </c>
    </row>
    <row r="40" spans="1:17">
      <c r="B40">
        <v>1</v>
      </c>
      <c r="C40">
        <v>159.99256829160294</v>
      </c>
      <c r="E40">
        <f t="shared" si="7"/>
        <v>1</v>
      </c>
      <c r="H40">
        <v>1</v>
      </c>
      <c r="I40">
        <v>159.99256829160294</v>
      </c>
      <c r="K40">
        <f t="shared" si="8"/>
        <v>1</v>
      </c>
      <c r="N40">
        <v>1</v>
      </c>
      <c r="O40">
        <v>159.99256829160294</v>
      </c>
      <c r="Q40">
        <f t="shared" si="9"/>
        <v>1</v>
      </c>
    </row>
    <row r="41" spans="1:17">
      <c r="B41">
        <v>1.25</v>
      </c>
      <c r="C41">
        <v>183.71229530267374</v>
      </c>
      <c r="E41">
        <f t="shared" si="7"/>
        <v>1.1482551800021059</v>
      </c>
      <c r="H41">
        <v>1.25</v>
      </c>
      <c r="I41">
        <v>162.57381829160292</v>
      </c>
      <c r="K41">
        <f t="shared" si="8"/>
        <v>1.0161335618745453</v>
      </c>
      <c r="N41">
        <v>1.25</v>
      </c>
      <c r="O41">
        <v>173.68973335343287</v>
      </c>
      <c r="Q41">
        <f t="shared" si="9"/>
        <v>1.0856112581233488</v>
      </c>
    </row>
    <row r="42" spans="1:17">
      <c r="B42">
        <v>1.5</v>
      </c>
      <c r="C42">
        <v>207.43202231374451</v>
      </c>
      <c r="E42">
        <f t="shared" si="7"/>
        <v>1.2965103600042114</v>
      </c>
      <c r="H42">
        <v>1.5</v>
      </c>
      <c r="I42">
        <v>165.15506829160293</v>
      </c>
      <c r="K42">
        <f t="shared" si="8"/>
        <v>1.0322671237490906</v>
      </c>
      <c r="N42">
        <v>1.5</v>
      </c>
      <c r="O42">
        <v>187.38689841526281</v>
      </c>
      <c r="Q42">
        <f t="shared" si="9"/>
        <v>1.1712225162466976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F3B54-5125-BA48-A139-D41CB5E115FA}">
  <dimension ref="C2:AB65"/>
  <sheetViews>
    <sheetView zoomScale="75" workbookViewId="0">
      <selection activeCell="L18" sqref="L18"/>
    </sheetView>
  </sheetViews>
  <sheetFormatPr defaultColWidth="11.5546875" defaultRowHeight="15"/>
  <sheetData>
    <row r="2" spans="3: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3: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3:28">
      <c r="J4" t="s">
        <v>5</v>
      </c>
      <c r="K4" t="s">
        <v>18</v>
      </c>
      <c r="L4" s="9">
        <f>Global!D5</f>
        <v>41.3</v>
      </c>
      <c r="M4" s="9">
        <f>Global!E5</f>
        <v>41.3</v>
      </c>
      <c r="N4" s="9">
        <f>Global!F5</f>
        <v>41.3</v>
      </c>
      <c r="O4" s="9">
        <f>Global!G5</f>
        <v>39.15</v>
      </c>
      <c r="P4" s="9">
        <f>Global!H5</f>
        <v>37</v>
      </c>
      <c r="Q4" s="9">
        <f>Global!I5</f>
        <v>26.95</v>
      </c>
      <c r="R4" s="9">
        <f>Global!J5</f>
        <v>16.899999999999999</v>
      </c>
      <c r="S4" s="9">
        <f>Global!K5</f>
        <v>16.25</v>
      </c>
      <c r="T4" s="9">
        <f>Global!L5</f>
        <v>15.6</v>
      </c>
      <c r="U4" s="9">
        <f>Global!M5</f>
        <v>14.95</v>
      </c>
      <c r="V4" s="9">
        <f>Global!N5</f>
        <v>14.3</v>
      </c>
      <c r="W4" s="9">
        <f>Global!O5</f>
        <v>14.3</v>
      </c>
      <c r="X4" s="9">
        <f>Global!P5</f>
        <v>14.3</v>
      </c>
      <c r="Y4" s="9">
        <f>Global!Q5</f>
        <v>14.3</v>
      </c>
      <c r="Z4" s="9">
        <f>Global!R5</f>
        <v>14.3</v>
      </c>
      <c r="AA4" s="9">
        <f>Global!S5</f>
        <v>14.3</v>
      </c>
      <c r="AB4" s="9">
        <f>Global!T5</f>
        <v>14.3</v>
      </c>
    </row>
    <row r="5" spans="3:28">
      <c r="L5" s="11"/>
      <c r="M5" s="11"/>
      <c r="N5" s="11"/>
      <c r="O5" s="11"/>
    </row>
    <row r="8" spans="3:28" ht="15.75">
      <c r="C8" s="13" t="s">
        <v>226</v>
      </c>
      <c r="D8" s="4"/>
      <c r="E8" s="4"/>
      <c r="F8" s="4"/>
      <c r="G8" s="4"/>
      <c r="H8" s="4"/>
      <c r="I8" s="14"/>
      <c r="J8" s="13"/>
      <c r="K8" s="4"/>
      <c r="L8" s="4"/>
      <c r="M8" s="4"/>
      <c r="N8" s="4"/>
      <c r="O8" s="4"/>
      <c r="P8" s="4"/>
      <c r="Q8" s="4"/>
      <c r="R8" s="4"/>
      <c r="S8" s="4"/>
      <c r="T8" s="4"/>
      <c r="U8" s="4"/>
      <c r="V8" s="4"/>
      <c r="W8" s="4"/>
      <c r="X8" s="4"/>
      <c r="Y8" s="4"/>
      <c r="Z8" s="4"/>
      <c r="AA8" s="4"/>
      <c r="AB8" s="4"/>
    </row>
    <row r="9" spans="3:28" ht="16.5" thickBot="1">
      <c r="C9" s="43" t="s">
        <v>8</v>
      </c>
      <c r="D9" s="43" t="s">
        <v>9</v>
      </c>
      <c r="E9" s="43" t="s">
        <v>10</v>
      </c>
      <c r="F9" s="43" t="s">
        <v>11</v>
      </c>
      <c r="G9" s="43" t="s">
        <v>12</v>
      </c>
      <c r="H9" s="43" t="s">
        <v>13</v>
      </c>
      <c r="I9" s="44"/>
      <c r="J9" s="43" t="s">
        <v>8</v>
      </c>
      <c r="K9" s="43" t="s">
        <v>11</v>
      </c>
      <c r="L9" s="43">
        <v>2020</v>
      </c>
      <c r="M9" s="43">
        <v>2025</v>
      </c>
      <c r="N9" s="43">
        <v>2030</v>
      </c>
      <c r="O9" s="43">
        <v>2035</v>
      </c>
      <c r="P9" s="43">
        <v>2040</v>
      </c>
      <c r="Q9" s="43">
        <v>2045</v>
      </c>
      <c r="R9" s="43">
        <v>2050</v>
      </c>
      <c r="S9" s="43">
        <v>2055</v>
      </c>
      <c r="T9" s="43">
        <v>2060</v>
      </c>
      <c r="U9" s="43">
        <v>2065</v>
      </c>
      <c r="V9" s="43">
        <v>2070</v>
      </c>
      <c r="W9" s="43">
        <v>2075</v>
      </c>
      <c r="X9" s="43">
        <v>2080</v>
      </c>
      <c r="Y9" s="43">
        <v>2085</v>
      </c>
      <c r="Z9" s="43">
        <v>2090</v>
      </c>
      <c r="AA9" s="43">
        <v>2095</v>
      </c>
      <c r="AB9" s="43">
        <v>2100</v>
      </c>
    </row>
    <row r="10" spans="3:28">
      <c r="C10" t="s">
        <v>14</v>
      </c>
      <c r="D10" t="s">
        <v>275</v>
      </c>
      <c r="E10" s="8">
        <v>660</v>
      </c>
      <c r="F10" t="s">
        <v>275</v>
      </c>
      <c r="G10" s="8">
        <f>E10</f>
        <v>660</v>
      </c>
      <c r="H10" t="s">
        <v>277</v>
      </c>
      <c r="I10" s="15"/>
      <c r="J10" t="s">
        <v>14</v>
      </c>
      <c r="K10" t="s">
        <v>282</v>
      </c>
      <c r="L10" s="8">
        <f>$G$10*L16/L14</f>
        <v>7.1835288388685066E-3</v>
      </c>
      <c r="M10" s="8">
        <f t="shared" ref="M10:O10" si="0">$G$10*M16/M14</f>
        <v>7.1045889615183027E-3</v>
      </c>
      <c r="N10" s="8">
        <f t="shared" si="0"/>
        <v>7.0273651684583209E-3</v>
      </c>
      <c r="O10" s="8">
        <f t="shared" si="0"/>
        <v>6.9518021021308125E-3</v>
      </c>
      <c r="P10" s="8">
        <f>590*P16/P14</f>
        <v>6.1483781647955794E-3</v>
      </c>
      <c r="Q10" s="8">
        <f>P10</f>
        <v>6.1483781647955794E-3</v>
      </c>
      <c r="R10" s="8">
        <f>554*R16/R14</f>
        <v>5.7124521197126589E-3</v>
      </c>
      <c r="S10" s="8">
        <f>R10</f>
        <v>5.7124521197126589E-3</v>
      </c>
      <c r="T10" s="8">
        <f t="shared" ref="T10:AB10" si="1">S10</f>
        <v>5.7124521197126589E-3</v>
      </c>
      <c r="U10" s="8">
        <f t="shared" si="1"/>
        <v>5.7124521197126589E-3</v>
      </c>
      <c r="V10" s="8">
        <f t="shared" si="1"/>
        <v>5.7124521197126589E-3</v>
      </c>
      <c r="W10" s="8">
        <f t="shared" si="1"/>
        <v>5.7124521197126589E-3</v>
      </c>
      <c r="X10" s="8">
        <f t="shared" si="1"/>
        <v>5.7124521197126589E-3</v>
      </c>
      <c r="Y10" s="8">
        <f t="shared" si="1"/>
        <v>5.7124521197126589E-3</v>
      </c>
      <c r="Z10" s="8">
        <f t="shared" si="1"/>
        <v>5.7124521197126589E-3</v>
      </c>
      <c r="AA10" s="8">
        <f t="shared" si="1"/>
        <v>5.7124521197126589E-3</v>
      </c>
      <c r="AB10" s="8">
        <f t="shared" si="1"/>
        <v>5.7124521197126589E-3</v>
      </c>
    </row>
    <row r="11" spans="3:28">
      <c r="C11" t="s">
        <v>19</v>
      </c>
      <c r="D11" t="s">
        <v>276</v>
      </c>
      <c r="E11" s="23">
        <v>0.02</v>
      </c>
      <c r="F11" t="s">
        <v>279</v>
      </c>
      <c r="G11" s="8">
        <f>E11*E10</f>
        <v>13.200000000000001</v>
      </c>
      <c r="H11" t="s">
        <v>277</v>
      </c>
      <c r="I11" s="15"/>
      <c r="J11" t="s">
        <v>19</v>
      </c>
      <c r="K11" t="s">
        <v>282</v>
      </c>
      <c r="L11" s="8">
        <f>$G$11/L14</f>
        <v>1.6742770167427702E-3</v>
      </c>
      <c r="M11" s="8">
        <f t="shared" ref="M11:O11" si="2">$G$11/M14</f>
        <v>1.6558783682071353E-3</v>
      </c>
      <c r="N11" s="8">
        <f t="shared" si="2"/>
        <v>1.6378796902918405E-3</v>
      </c>
      <c r="O11" s="8">
        <f t="shared" si="2"/>
        <v>1.6202680807188099E-3</v>
      </c>
      <c r="P11" s="8">
        <f>E11*P10</f>
        <v>1.229675632959116E-4</v>
      </c>
      <c r="Q11" s="8">
        <f>P11</f>
        <v>1.229675632959116E-4</v>
      </c>
      <c r="R11" s="8">
        <f>E11*R10</f>
        <v>1.1424904239425318E-4</v>
      </c>
      <c r="S11" s="8">
        <f>R11</f>
        <v>1.1424904239425318E-4</v>
      </c>
      <c r="T11" s="8">
        <f t="shared" ref="T11:AB11" si="3">S11</f>
        <v>1.1424904239425318E-4</v>
      </c>
      <c r="U11" s="8">
        <f t="shared" si="3"/>
        <v>1.1424904239425318E-4</v>
      </c>
      <c r="V11" s="8">
        <f t="shared" si="3"/>
        <v>1.1424904239425318E-4</v>
      </c>
      <c r="W11" s="8">
        <f t="shared" si="3"/>
        <v>1.1424904239425318E-4</v>
      </c>
      <c r="X11" s="8">
        <f t="shared" si="3"/>
        <v>1.1424904239425318E-4</v>
      </c>
      <c r="Y11" s="8">
        <f t="shared" si="3"/>
        <v>1.1424904239425318E-4</v>
      </c>
      <c r="Z11" s="8">
        <f t="shared" si="3"/>
        <v>1.1424904239425318E-4</v>
      </c>
      <c r="AA11" s="8">
        <f t="shared" si="3"/>
        <v>1.1424904239425318E-4</v>
      </c>
      <c r="AB11" s="8">
        <f t="shared" si="3"/>
        <v>1.1424904239425318E-4</v>
      </c>
    </row>
    <row r="12" spans="3:28">
      <c r="C12" t="s">
        <v>20</v>
      </c>
      <c r="D12" t="s">
        <v>280</v>
      </c>
      <c r="E12" s="27">
        <v>1.8E-3</v>
      </c>
      <c r="F12" t="s">
        <v>280</v>
      </c>
      <c r="G12" s="27">
        <f>E12</f>
        <v>1.8E-3</v>
      </c>
      <c r="H12" t="s">
        <v>277</v>
      </c>
      <c r="I12" s="15"/>
      <c r="J12" t="s">
        <v>20</v>
      </c>
      <c r="K12" t="s">
        <v>282</v>
      </c>
      <c r="L12" s="27">
        <f>G12</f>
        <v>1.8E-3</v>
      </c>
      <c r="M12" s="27">
        <f t="shared" ref="M12:O16" si="4">L12</f>
        <v>1.8E-3</v>
      </c>
      <c r="N12" s="27">
        <f t="shared" ref="N12:O13" si="5">M12</f>
        <v>1.8E-3</v>
      </c>
      <c r="O12" s="27">
        <f t="shared" si="5"/>
        <v>1.8E-3</v>
      </c>
      <c r="P12" s="27">
        <v>1.6999999999999999E-3</v>
      </c>
      <c r="Q12" s="27">
        <f>P12</f>
        <v>1.6999999999999999E-3</v>
      </c>
      <c r="R12">
        <v>1.6299999999999999E-3</v>
      </c>
      <c r="S12" s="27">
        <f>R12</f>
        <v>1.6299999999999999E-3</v>
      </c>
      <c r="T12" s="27">
        <f t="shared" ref="T12:AB12" si="6">S12</f>
        <v>1.6299999999999999E-3</v>
      </c>
      <c r="U12" s="27">
        <f t="shared" si="6"/>
        <v>1.6299999999999999E-3</v>
      </c>
      <c r="V12" s="27">
        <f t="shared" si="6"/>
        <v>1.6299999999999999E-3</v>
      </c>
      <c r="W12" s="27">
        <f t="shared" si="6"/>
        <v>1.6299999999999999E-3</v>
      </c>
      <c r="X12" s="27">
        <f t="shared" si="6"/>
        <v>1.6299999999999999E-3</v>
      </c>
      <c r="Y12" s="27">
        <f t="shared" si="6"/>
        <v>1.6299999999999999E-3</v>
      </c>
      <c r="Z12" s="27">
        <f t="shared" si="6"/>
        <v>1.6299999999999999E-3</v>
      </c>
      <c r="AA12" s="27">
        <f t="shared" si="6"/>
        <v>1.6299999999999999E-3</v>
      </c>
      <c r="AB12" s="27">
        <f t="shared" si="6"/>
        <v>1.6299999999999999E-3</v>
      </c>
    </row>
    <row r="13" spans="3:28">
      <c r="C13" t="s">
        <v>15</v>
      </c>
      <c r="D13" t="s">
        <v>21</v>
      </c>
      <c r="E13">
        <v>25</v>
      </c>
      <c r="F13" t="s">
        <v>21</v>
      </c>
      <c r="G13">
        <f>E13</f>
        <v>25</v>
      </c>
      <c r="H13" t="s">
        <v>277</v>
      </c>
      <c r="I13" s="15"/>
      <c r="J13" t="s">
        <v>15</v>
      </c>
      <c r="K13" t="s">
        <v>21</v>
      </c>
      <c r="L13" s="12">
        <f>G13</f>
        <v>25</v>
      </c>
      <c r="M13" s="12">
        <f t="shared" si="4"/>
        <v>25</v>
      </c>
      <c r="N13" s="12">
        <f t="shared" si="5"/>
        <v>25</v>
      </c>
      <c r="O13" s="12">
        <f t="shared" si="5"/>
        <v>25</v>
      </c>
      <c r="P13" s="12">
        <f>M13</f>
        <v>25</v>
      </c>
      <c r="Q13" s="12">
        <f>P13</f>
        <v>25</v>
      </c>
      <c r="R13" s="12">
        <f>Q13</f>
        <v>25</v>
      </c>
      <c r="S13" s="12">
        <f>R13</f>
        <v>25</v>
      </c>
      <c r="T13" s="12">
        <f t="shared" ref="T13:AB13" si="7">S13</f>
        <v>25</v>
      </c>
      <c r="U13" s="12">
        <f t="shared" si="7"/>
        <v>25</v>
      </c>
      <c r="V13" s="12">
        <f t="shared" si="7"/>
        <v>25</v>
      </c>
      <c r="W13" s="12">
        <f t="shared" si="7"/>
        <v>25</v>
      </c>
      <c r="X13" s="12">
        <f t="shared" si="7"/>
        <v>25</v>
      </c>
      <c r="Y13" s="12">
        <f t="shared" si="7"/>
        <v>25</v>
      </c>
      <c r="Z13" s="12">
        <f t="shared" si="7"/>
        <v>25</v>
      </c>
      <c r="AA13" s="12">
        <f t="shared" si="7"/>
        <v>25</v>
      </c>
      <c r="AB13" s="12">
        <f t="shared" si="7"/>
        <v>25</v>
      </c>
    </row>
    <row r="14" spans="3:28">
      <c r="C14" t="s">
        <v>16</v>
      </c>
      <c r="D14" t="s">
        <v>22</v>
      </c>
      <c r="E14" s="12"/>
      <c r="F14" t="s">
        <v>22</v>
      </c>
      <c r="G14" s="12"/>
      <c r="I14" s="15"/>
      <c r="J14" t="s">
        <v>16</v>
      </c>
      <c r="K14" t="s">
        <v>22</v>
      </c>
      <c r="L14" s="12">
        <f>8760*L3</f>
        <v>7884</v>
      </c>
      <c r="M14" s="12">
        <f t="shared" ref="M14:AB14" si="8">8760*M3</f>
        <v>7971.6</v>
      </c>
      <c r="N14" s="12">
        <f t="shared" si="8"/>
        <v>8059.2000000000007</v>
      </c>
      <c r="O14" s="12">
        <f t="shared" si="8"/>
        <v>8146.8</v>
      </c>
      <c r="P14" s="12">
        <f t="shared" si="8"/>
        <v>8234.4</v>
      </c>
      <c r="Q14" s="12">
        <f t="shared" si="8"/>
        <v>8322</v>
      </c>
      <c r="R14" s="12">
        <f t="shared" si="8"/>
        <v>8322</v>
      </c>
      <c r="S14" s="12">
        <f t="shared" si="8"/>
        <v>8322</v>
      </c>
      <c r="T14" s="12">
        <f t="shared" si="8"/>
        <v>8322</v>
      </c>
      <c r="U14" s="12">
        <f t="shared" si="8"/>
        <v>8322</v>
      </c>
      <c r="V14" s="12">
        <f t="shared" si="8"/>
        <v>8322</v>
      </c>
      <c r="W14" s="12">
        <f t="shared" si="8"/>
        <v>8322</v>
      </c>
      <c r="X14" s="12">
        <f t="shared" si="8"/>
        <v>8322</v>
      </c>
      <c r="Y14" s="12">
        <f t="shared" si="8"/>
        <v>8322</v>
      </c>
      <c r="Z14" s="12">
        <f t="shared" si="8"/>
        <v>8322</v>
      </c>
      <c r="AA14" s="12">
        <f t="shared" si="8"/>
        <v>8322</v>
      </c>
      <c r="AB14" s="12">
        <f t="shared" si="8"/>
        <v>8322</v>
      </c>
    </row>
    <row r="15" spans="3:28">
      <c r="C15" t="s">
        <v>227</v>
      </c>
      <c r="D15" s="2" t="s">
        <v>7</v>
      </c>
      <c r="F15" s="2" t="s">
        <v>7</v>
      </c>
      <c r="H15" t="s">
        <v>278</v>
      </c>
      <c r="I15" s="15"/>
      <c r="J15" s="25" t="s">
        <v>227</v>
      </c>
      <c r="K15" s="2" t="s">
        <v>7</v>
      </c>
      <c r="L15" s="8">
        <f>E46</f>
        <v>2</v>
      </c>
      <c r="M15" s="8">
        <f t="shared" ref="M15:AB15" si="9">F46</f>
        <v>2.08</v>
      </c>
      <c r="N15" s="8">
        <f t="shared" si="9"/>
        <v>2.16</v>
      </c>
      <c r="O15" s="8">
        <f t="shared" si="9"/>
        <v>2.2400000000000002</v>
      </c>
      <c r="P15" s="8">
        <f t="shared" si="9"/>
        <v>2.3200000000000003</v>
      </c>
      <c r="Q15" s="8">
        <f t="shared" si="9"/>
        <v>2.4</v>
      </c>
      <c r="R15" s="8">
        <f t="shared" si="9"/>
        <v>2.48</v>
      </c>
      <c r="S15" s="8">
        <f t="shared" si="9"/>
        <v>2.56</v>
      </c>
      <c r="T15" s="8">
        <f t="shared" si="9"/>
        <v>2.64</v>
      </c>
      <c r="U15" s="8">
        <f t="shared" si="9"/>
        <v>2.72</v>
      </c>
      <c r="V15" s="8">
        <f t="shared" si="9"/>
        <v>2.8</v>
      </c>
      <c r="W15" s="8">
        <f t="shared" si="9"/>
        <v>2.8</v>
      </c>
      <c r="X15" s="8">
        <f t="shared" si="9"/>
        <v>2.8</v>
      </c>
      <c r="Y15" s="8">
        <f t="shared" si="9"/>
        <v>2.8</v>
      </c>
      <c r="Z15" s="8">
        <f t="shared" si="9"/>
        <v>2.8</v>
      </c>
      <c r="AA15" s="8">
        <f t="shared" si="9"/>
        <v>2.8</v>
      </c>
      <c r="AB15" s="8">
        <f t="shared" si="9"/>
        <v>2.8</v>
      </c>
    </row>
    <row r="16" spans="3:28">
      <c r="D16" s="2"/>
      <c r="F16" s="2"/>
      <c r="I16" s="15"/>
      <c r="J16" t="s">
        <v>17</v>
      </c>
      <c r="K16" s="2" t="s">
        <v>7</v>
      </c>
      <c r="L16" s="9">
        <f>(L$2*(1+L$2)^L13)/((1+L$2)^L13-1)</f>
        <v>8.5810517220665614E-2</v>
      </c>
      <c r="M16" s="8">
        <f t="shared" si="4"/>
        <v>8.5810517220665614E-2</v>
      </c>
      <c r="N16" s="8">
        <f t="shared" si="4"/>
        <v>8.5810517220665614E-2</v>
      </c>
      <c r="O16" s="8">
        <f t="shared" si="4"/>
        <v>8.5810517220665614E-2</v>
      </c>
      <c r="P16" s="8">
        <f t="shared" ref="P16" si="10">O16</f>
        <v>8.5810517220665614E-2</v>
      </c>
      <c r="Q16" s="8">
        <f t="shared" ref="Q16" si="11">P16</f>
        <v>8.5810517220665614E-2</v>
      </c>
      <c r="R16" s="8">
        <f t="shared" ref="R16" si="12">Q16</f>
        <v>8.5810517220665614E-2</v>
      </c>
      <c r="S16" s="8">
        <f t="shared" ref="S16" si="13">R16</f>
        <v>8.5810517220665614E-2</v>
      </c>
      <c r="T16" s="8">
        <f t="shared" ref="T16:AB16" si="14">S16</f>
        <v>8.5810517220665614E-2</v>
      </c>
      <c r="U16" s="8">
        <f t="shared" si="14"/>
        <v>8.5810517220665614E-2</v>
      </c>
      <c r="V16" s="8">
        <f t="shared" si="14"/>
        <v>8.5810517220665614E-2</v>
      </c>
      <c r="W16" s="8">
        <f t="shared" si="14"/>
        <v>8.5810517220665614E-2</v>
      </c>
      <c r="X16" s="8">
        <f t="shared" si="14"/>
        <v>8.5810517220665614E-2</v>
      </c>
      <c r="Y16" s="8">
        <f t="shared" si="14"/>
        <v>8.5810517220665614E-2</v>
      </c>
      <c r="Z16" s="8">
        <f t="shared" si="14"/>
        <v>8.5810517220665614E-2</v>
      </c>
      <c r="AA16" s="8">
        <f t="shared" si="14"/>
        <v>8.5810517220665614E-2</v>
      </c>
      <c r="AB16" s="8">
        <f t="shared" si="14"/>
        <v>8.5810517220665614E-2</v>
      </c>
    </row>
    <row r="17" spans="9:28" ht="15.75">
      <c r="I17" s="15"/>
      <c r="J17" s="13" t="s">
        <v>285</v>
      </c>
      <c r="K17" s="4" t="s">
        <v>283</v>
      </c>
      <c r="L17" s="10">
        <f>SUM(L10:L12)*1000</f>
        <v>10.657805855611276</v>
      </c>
      <c r="M17" s="10">
        <f t="shared" ref="M17:AB17" si="15">SUM(M10:M12)*1000</f>
        <v>10.560467329725439</v>
      </c>
      <c r="N17" s="10">
        <f t="shared" si="15"/>
        <v>10.465244858750161</v>
      </c>
      <c r="O17" s="10">
        <f t="shared" si="15"/>
        <v>10.372070182849621</v>
      </c>
      <c r="P17" s="10">
        <f t="shared" si="15"/>
        <v>7.9713457280914914</v>
      </c>
      <c r="Q17" s="10">
        <f t="shared" si="15"/>
        <v>7.9713457280914914</v>
      </c>
      <c r="R17" s="10">
        <f t="shared" si="15"/>
        <v>7.4567011621069126</v>
      </c>
      <c r="S17" s="10">
        <f t="shared" si="15"/>
        <v>7.4567011621069126</v>
      </c>
      <c r="T17" s="10">
        <f t="shared" si="15"/>
        <v>7.4567011621069126</v>
      </c>
      <c r="U17" s="10">
        <f t="shared" si="15"/>
        <v>7.4567011621069126</v>
      </c>
      <c r="V17" s="10">
        <f t="shared" si="15"/>
        <v>7.4567011621069126</v>
      </c>
      <c r="W17" s="10">
        <f t="shared" si="15"/>
        <v>7.4567011621069126</v>
      </c>
      <c r="X17" s="10">
        <f t="shared" si="15"/>
        <v>7.4567011621069126</v>
      </c>
      <c r="Y17" s="10">
        <f t="shared" si="15"/>
        <v>7.4567011621069126</v>
      </c>
      <c r="Z17" s="10">
        <f t="shared" si="15"/>
        <v>7.4567011621069126</v>
      </c>
      <c r="AA17" s="10">
        <f t="shared" si="15"/>
        <v>7.4567011621069126</v>
      </c>
      <c r="AB17" s="10">
        <f t="shared" si="15"/>
        <v>7.4567011621069126</v>
      </c>
    </row>
    <row r="18" spans="9:28">
      <c r="I18" s="15"/>
      <c r="J18" t="s">
        <v>23</v>
      </c>
      <c r="K18" t="s">
        <v>283</v>
      </c>
      <c r="L18" s="8">
        <f>L4/L15</f>
        <v>20.65</v>
      </c>
      <c r="M18" s="8">
        <f t="shared" ref="M18:AB18" si="16">M4/M15</f>
        <v>19.85576923076923</v>
      </c>
      <c r="N18" s="8">
        <f t="shared" si="16"/>
        <v>19.120370370370367</v>
      </c>
      <c r="O18" s="8">
        <f t="shared" si="16"/>
        <v>17.477678571428569</v>
      </c>
      <c r="P18" s="8">
        <f t="shared" si="16"/>
        <v>15.948275862068964</v>
      </c>
      <c r="Q18" s="8">
        <f t="shared" si="16"/>
        <v>11.229166666666666</v>
      </c>
      <c r="R18" s="8">
        <f t="shared" si="16"/>
        <v>6.8145161290322571</v>
      </c>
      <c r="S18" s="8">
        <f t="shared" si="16"/>
        <v>6.34765625</v>
      </c>
      <c r="T18" s="8">
        <f t="shared" si="16"/>
        <v>5.9090909090909083</v>
      </c>
      <c r="U18" s="8">
        <f t="shared" si="16"/>
        <v>5.4963235294117636</v>
      </c>
      <c r="V18" s="8">
        <f t="shared" si="16"/>
        <v>5.1071428571428577</v>
      </c>
      <c r="W18" s="8">
        <f t="shared" si="16"/>
        <v>5.1071428571428577</v>
      </c>
      <c r="X18" s="8">
        <f t="shared" si="16"/>
        <v>5.1071428571428577</v>
      </c>
      <c r="Y18" s="8">
        <f t="shared" si="16"/>
        <v>5.1071428571428577</v>
      </c>
      <c r="Z18" s="8">
        <f t="shared" si="16"/>
        <v>5.1071428571428577</v>
      </c>
      <c r="AA18" s="8">
        <f t="shared" si="16"/>
        <v>5.1071428571428577</v>
      </c>
      <c r="AB18" s="8">
        <f t="shared" si="16"/>
        <v>5.1071428571428577</v>
      </c>
    </row>
    <row r="19" spans="9:28">
      <c r="I19" s="15"/>
      <c r="L19" s="8"/>
      <c r="M19" s="8"/>
      <c r="N19" s="8"/>
      <c r="O19" s="8"/>
    </row>
    <row r="20" spans="9:28">
      <c r="I20" s="15"/>
      <c r="L20" s="8"/>
      <c r="M20" s="8"/>
      <c r="N20" s="8"/>
      <c r="O20" s="8"/>
    </row>
    <row r="21" spans="9:28" ht="15.75">
      <c r="I21" s="15"/>
      <c r="J21" s="13" t="s">
        <v>284</v>
      </c>
      <c r="K21" s="4" t="s">
        <v>283</v>
      </c>
      <c r="L21" s="10">
        <f>SUM(L17:L18)</f>
        <v>31.307805855611274</v>
      </c>
      <c r="M21" s="10">
        <f t="shared" ref="M21:AB21" si="17">SUM(M17:M18)</f>
        <v>30.416236560494667</v>
      </c>
      <c r="N21" s="10">
        <f t="shared" si="17"/>
        <v>29.585615229120528</v>
      </c>
      <c r="O21" s="10">
        <f t="shared" si="17"/>
        <v>27.849748754278188</v>
      </c>
      <c r="P21" s="10">
        <f t="shared" si="17"/>
        <v>23.919621590160457</v>
      </c>
      <c r="Q21" s="10">
        <f t="shared" si="17"/>
        <v>19.200512394758157</v>
      </c>
      <c r="R21" s="10">
        <f t="shared" si="17"/>
        <v>14.27121729113917</v>
      </c>
      <c r="S21" s="10">
        <f t="shared" si="17"/>
        <v>13.804357412106913</v>
      </c>
      <c r="T21" s="10">
        <f t="shared" si="17"/>
        <v>13.36579207119782</v>
      </c>
      <c r="U21" s="10">
        <f t="shared" si="17"/>
        <v>12.953024691518676</v>
      </c>
      <c r="V21" s="10">
        <f t="shared" si="17"/>
        <v>12.563844019249771</v>
      </c>
      <c r="W21" s="10">
        <f t="shared" si="17"/>
        <v>12.563844019249771</v>
      </c>
      <c r="X21" s="10">
        <f t="shared" si="17"/>
        <v>12.563844019249771</v>
      </c>
      <c r="Y21" s="10">
        <f t="shared" si="17"/>
        <v>12.563844019249771</v>
      </c>
      <c r="Z21" s="10">
        <f t="shared" si="17"/>
        <v>12.563844019249771</v>
      </c>
      <c r="AA21" s="10">
        <f t="shared" si="17"/>
        <v>12.563844019249771</v>
      </c>
      <c r="AB21" s="10">
        <f t="shared" si="17"/>
        <v>12.563844019249771</v>
      </c>
    </row>
    <row r="29" spans="9:28">
      <c r="L29" s="8"/>
      <c r="M29" s="8"/>
      <c r="N29" s="8"/>
      <c r="O29" s="8"/>
    </row>
    <row r="30" spans="9:28">
      <c r="L30" s="8"/>
      <c r="M30" s="8"/>
      <c r="N30" s="8"/>
      <c r="O30" s="8"/>
    </row>
    <row r="31" spans="9:28">
      <c r="L31" s="8"/>
      <c r="M31" s="8"/>
      <c r="N31" s="8"/>
      <c r="O31" s="8"/>
    </row>
    <row r="36" spans="3:22">
      <c r="H36" t="s">
        <v>230</v>
      </c>
      <c r="I36" t="s">
        <v>234</v>
      </c>
    </row>
    <row r="37" spans="3:22">
      <c r="C37" t="s">
        <v>228</v>
      </c>
      <c r="E37">
        <v>2020</v>
      </c>
      <c r="F37">
        <v>2025</v>
      </c>
      <c r="G37" t="s">
        <v>269</v>
      </c>
      <c r="H37">
        <v>2035</v>
      </c>
      <c r="I37" t="s">
        <v>270</v>
      </c>
      <c r="J37">
        <v>2045</v>
      </c>
      <c r="K37" t="s">
        <v>271</v>
      </c>
      <c r="L37">
        <v>2055</v>
      </c>
      <c r="M37" t="s">
        <v>272</v>
      </c>
      <c r="N37">
        <v>2065</v>
      </c>
      <c r="O37" t="s">
        <v>273</v>
      </c>
      <c r="P37">
        <v>2075</v>
      </c>
      <c r="Q37">
        <v>2080</v>
      </c>
      <c r="R37">
        <v>2085</v>
      </c>
      <c r="S37">
        <v>2090</v>
      </c>
      <c r="T37">
        <v>2095</v>
      </c>
      <c r="U37">
        <v>2100</v>
      </c>
      <c r="V37" t="s">
        <v>233</v>
      </c>
    </row>
    <row r="38" spans="3:22">
      <c r="C38" t="s">
        <v>229</v>
      </c>
      <c r="E38" s="1">
        <v>0.5</v>
      </c>
      <c r="F38" s="42">
        <f>E38+($O$38-$J$38)/5</f>
        <v>0.52</v>
      </c>
      <c r="G38" s="42">
        <f t="shared" ref="G38:I38" si="18">F38+($O$38-$J$38)/5</f>
        <v>0.54</v>
      </c>
      <c r="H38" s="42">
        <f t="shared" si="18"/>
        <v>0.56000000000000005</v>
      </c>
      <c r="I38" s="42">
        <f t="shared" si="18"/>
        <v>0.58000000000000007</v>
      </c>
      <c r="J38" s="28">
        <f>(E38+O38)/2</f>
        <v>0.6</v>
      </c>
      <c r="K38" s="42">
        <f>J38+($O$38-$J$38)/5</f>
        <v>0.62</v>
      </c>
      <c r="L38" s="42">
        <f t="shared" ref="L38:N38" si="19">K38+($O$38-$J$38)/5</f>
        <v>0.64</v>
      </c>
      <c r="M38" s="42">
        <f t="shared" si="19"/>
        <v>0.66</v>
      </c>
      <c r="N38" s="42">
        <f t="shared" si="19"/>
        <v>0.68</v>
      </c>
      <c r="O38" s="1">
        <v>0.7</v>
      </c>
      <c r="P38" s="1">
        <f>O38</f>
        <v>0.7</v>
      </c>
      <c r="Q38" s="1">
        <f t="shared" ref="Q38:U38" si="20">P38</f>
        <v>0.7</v>
      </c>
      <c r="R38" s="1">
        <f t="shared" si="20"/>
        <v>0.7</v>
      </c>
      <c r="S38" s="1">
        <f t="shared" si="20"/>
        <v>0.7</v>
      </c>
      <c r="T38" s="1">
        <f t="shared" si="20"/>
        <v>0.7</v>
      </c>
      <c r="U38" s="1">
        <f t="shared" si="20"/>
        <v>0.7</v>
      </c>
      <c r="V38" s="1">
        <v>1</v>
      </c>
    </row>
    <row r="39" spans="3:22">
      <c r="C39" t="s">
        <v>232</v>
      </c>
      <c r="D39">
        <v>100</v>
      </c>
    </row>
    <row r="40" spans="3:22">
      <c r="C40" t="s">
        <v>231</v>
      </c>
      <c r="D40" t="s">
        <v>274</v>
      </c>
    </row>
    <row r="41" spans="3:22">
      <c r="C41">
        <v>0.1</v>
      </c>
      <c r="D41">
        <f>$D$39-C41</f>
        <v>99.9</v>
      </c>
      <c r="E41" s="11">
        <f t="shared" ref="E41:I50" si="21">$D$39/$C41*E$38</f>
        <v>500</v>
      </c>
      <c r="F41" s="11">
        <f t="shared" si="21"/>
        <v>520</v>
      </c>
      <c r="G41" s="11">
        <f t="shared" si="21"/>
        <v>540</v>
      </c>
      <c r="H41" s="11">
        <f t="shared" si="21"/>
        <v>560</v>
      </c>
      <c r="I41" s="11">
        <f t="shared" si="21"/>
        <v>580.00000000000011</v>
      </c>
      <c r="J41" s="11">
        <f t="shared" ref="J41:V56" si="22">$D$39/$C41*J$38</f>
        <v>600</v>
      </c>
      <c r="K41" s="11">
        <f t="shared" si="22"/>
        <v>620</v>
      </c>
      <c r="L41" s="11">
        <f t="shared" si="22"/>
        <v>640</v>
      </c>
      <c r="M41" s="11">
        <f t="shared" si="22"/>
        <v>660</v>
      </c>
      <c r="N41" s="11">
        <f t="shared" si="22"/>
        <v>680</v>
      </c>
      <c r="O41" s="11">
        <f t="shared" si="22"/>
        <v>700</v>
      </c>
      <c r="P41" s="11">
        <f t="shared" si="22"/>
        <v>700</v>
      </c>
      <c r="Q41" s="11">
        <f t="shared" si="22"/>
        <v>700</v>
      </c>
      <c r="R41" s="11">
        <f t="shared" si="22"/>
        <v>700</v>
      </c>
      <c r="S41" s="11">
        <f t="shared" si="22"/>
        <v>700</v>
      </c>
      <c r="T41" s="11">
        <f t="shared" si="22"/>
        <v>700</v>
      </c>
      <c r="U41" s="11">
        <f t="shared" si="22"/>
        <v>700</v>
      </c>
      <c r="V41" s="11">
        <f t="shared" si="22"/>
        <v>1000</v>
      </c>
    </row>
    <row r="42" spans="3:22">
      <c r="C42">
        <v>5</v>
      </c>
      <c r="D42">
        <f t="shared" ref="D42:D65" si="23">$D$39-C42</f>
        <v>95</v>
      </c>
      <c r="E42" s="11">
        <f t="shared" si="21"/>
        <v>10</v>
      </c>
      <c r="F42" s="11">
        <f t="shared" si="21"/>
        <v>10.4</v>
      </c>
      <c r="G42" s="11">
        <f t="shared" si="21"/>
        <v>10.8</v>
      </c>
      <c r="H42" s="11">
        <f t="shared" si="21"/>
        <v>11.200000000000001</v>
      </c>
      <c r="I42" s="11">
        <f t="shared" si="21"/>
        <v>11.600000000000001</v>
      </c>
      <c r="J42" s="11">
        <f t="shared" si="22"/>
        <v>12</v>
      </c>
      <c r="K42" s="11">
        <f t="shared" si="22"/>
        <v>12.4</v>
      </c>
      <c r="L42" s="11">
        <f t="shared" si="22"/>
        <v>12.8</v>
      </c>
      <c r="M42" s="11">
        <f t="shared" si="22"/>
        <v>13.200000000000001</v>
      </c>
      <c r="N42" s="11">
        <f t="shared" si="22"/>
        <v>13.600000000000001</v>
      </c>
      <c r="O42" s="11">
        <f t="shared" si="22"/>
        <v>14</v>
      </c>
      <c r="P42" s="11">
        <f t="shared" si="22"/>
        <v>14</v>
      </c>
      <c r="Q42" s="11">
        <f t="shared" si="22"/>
        <v>14</v>
      </c>
      <c r="R42" s="11">
        <f t="shared" si="22"/>
        <v>14</v>
      </c>
      <c r="S42" s="11">
        <f t="shared" si="22"/>
        <v>14</v>
      </c>
      <c r="T42" s="11">
        <f t="shared" si="22"/>
        <v>14</v>
      </c>
      <c r="U42" s="11">
        <f t="shared" si="22"/>
        <v>14</v>
      </c>
      <c r="V42" s="11">
        <f t="shared" si="22"/>
        <v>20</v>
      </c>
    </row>
    <row r="43" spans="3:22">
      <c r="C43">
        <v>10</v>
      </c>
      <c r="D43">
        <f t="shared" si="23"/>
        <v>90</v>
      </c>
      <c r="E43" s="11">
        <f t="shared" si="21"/>
        <v>5</v>
      </c>
      <c r="F43" s="11">
        <f t="shared" si="21"/>
        <v>5.2</v>
      </c>
      <c r="G43" s="11">
        <f t="shared" si="21"/>
        <v>5.4</v>
      </c>
      <c r="H43" s="11">
        <f t="shared" si="21"/>
        <v>5.6000000000000005</v>
      </c>
      <c r="I43" s="11">
        <f t="shared" si="21"/>
        <v>5.8000000000000007</v>
      </c>
      <c r="J43" s="11">
        <f t="shared" si="22"/>
        <v>6</v>
      </c>
      <c r="K43" s="11">
        <f t="shared" si="22"/>
        <v>6.2</v>
      </c>
      <c r="L43" s="11">
        <f t="shared" si="22"/>
        <v>6.4</v>
      </c>
      <c r="M43" s="11">
        <f t="shared" si="22"/>
        <v>6.6000000000000005</v>
      </c>
      <c r="N43" s="11">
        <f t="shared" si="22"/>
        <v>6.8000000000000007</v>
      </c>
      <c r="O43" s="11">
        <f t="shared" si="22"/>
        <v>7</v>
      </c>
      <c r="P43" s="11">
        <f t="shared" si="22"/>
        <v>7</v>
      </c>
      <c r="Q43" s="11">
        <f t="shared" si="22"/>
        <v>7</v>
      </c>
      <c r="R43" s="11">
        <f t="shared" si="22"/>
        <v>7</v>
      </c>
      <c r="S43" s="11">
        <f t="shared" si="22"/>
        <v>7</v>
      </c>
      <c r="T43" s="11">
        <f t="shared" si="22"/>
        <v>7</v>
      </c>
      <c r="U43" s="11">
        <f t="shared" si="22"/>
        <v>7</v>
      </c>
      <c r="V43" s="11">
        <f t="shared" si="22"/>
        <v>10</v>
      </c>
    </row>
    <row r="44" spans="3:22">
      <c r="C44">
        <v>15</v>
      </c>
      <c r="D44">
        <f t="shared" si="23"/>
        <v>85</v>
      </c>
      <c r="E44" s="11">
        <f t="shared" si="21"/>
        <v>3.3333333333333335</v>
      </c>
      <c r="F44" s="11">
        <f t="shared" si="21"/>
        <v>3.4666666666666668</v>
      </c>
      <c r="G44" s="11">
        <f t="shared" si="21"/>
        <v>3.6000000000000005</v>
      </c>
      <c r="H44" s="11">
        <f t="shared" si="21"/>
        <v>3.7333333333333338</v>
      </c>
      <c r="I44" s="11">
        <f t="shared" si="21"/>
        <v>3.8666666666666671</v>
      </c>
      <c r="J44" s="11">
        <f t="shared" si="22"/>
        <v>4</v>
      </c>
      <c r="K44" s="11">
        <f t="shared" si="22"/>
        <v>4.1333333333333337</v>
      </c>
      <c r="L44" s="11">
        <f t="shared" si="22"/>
        <v>4.2666666666666666</v>
      </c>
      <c r="M44" s="11">
        <f t="shared" si="22"/>
        <v>4.4000000000000004</v>
      </c>
      <c r="N44" s="11">
        <f t="shared" si="22"/>
        <v>4.5333333333333341</v>
      </c>
      <c r="O44" s="11">
        <f t="shared" si="22"/>
        <v>4.666666666666667</v>
      </c>
      <c r="P44" s="11">
        <f t="shared" si="22"/>
        <v>4.666666666666667</v>
      </c>
      <c r="Q44" s="11">
        <f t="shared" si="22"/>
        <v>4.666666666666667</v>
      </c>
      <c r="R44" s="11">
        <f t="shared" si="22"/>
        <v>4.666666666666667</v>
      </c>
      <c r="S44" s="11">
        <f t="shared" si="22"/>
        <v>4.666666666666667</v>
      </c>
      <c r="T44" s="11">
        <f t="shared" si="22"/>
        <v>4.666666666666667</v>
      </c>
      <c r="U44" s="11">
        <f t="shared" si="22"/>
        <v>4.666666666666667</v>
      </c>
      <c r="V44" s="11">
        <f t="shared" si="22"/>
        <v>6.666666666666667</v>
      </c>
    </row>
    <row r="45" spans="3:22">
      <c r="C45">
        <v>20</v>
      </c>
      <c r="D45">
        <f t="shared" si="23"/>
        <v>80</v>
      </c>
      <c r="E45" s="11">
        <f t="shared" si="21"/>
        <v>2.5</v>
      </c>
      <c r="F45" s="11">
        <f t="shared" si="21"/>
        <v>2.6</v>
      </c>
      <c r="G45" s="11">
        <f t="shared" si="21"/>
        <v>2.7</v>
      </c>
      <c r="H45" s="11">
        <f t="shared" si="21"/>
        <v>2.8000000000000003</v>
      </c>
      <c r="I45" s="11">
        <f t="shared" si="21"/>
        <v>2.9000000000000004</v>
      </c>
      <c r="J45" s="11">
        <f t="shared" si="22"/>
        <v>3</v>
      </c>
      <c r="K45" s="11">
        <f t="shared" si="22"/>
        <v>3.1</v>
      </c>
      <c r="L45" s="11">
        <f t="shared" si="22"/>
        <v>3.2</v>
      </c>
      <c r="M45" s="11">
        <f t="shared" si="22"/>
        <v>3.3000000000000003</v>
      </c>
      <c r="N45" s="11">
        <f t="shared" si="22"/>
        <v>3.4000000000000004</v>
      </c>
      <c r="O45" s="11">
        <f t="shared" si="22"/>
        <v>3.5</v>
      </c>
      <c r="P45" s="11">
        <f t="shared" si="22"/>
        <v>3.5</v>
      </c>
      <c r="Q45" s="11">
        <f t="shared" si="22"/>
        <v>3.5</v>
      </c>
      <c r="R45" s="11">
        <f t="shared" si="22"/>
        <v>3.5</v>
      </c>
      <c r="S45" s="11">
        <f t="shared" si="22"/>
        <v>3.5</v>
      </c>
      <c r="T45" s="11">
        <f t="shared" si="22"/>
        <v>3.5</v>
      </c>
      <c r="U45" s="11">
        <f t="shared" si="22"/>
        <v>3.5</v>
      </c>
      <c r="V45" s="11">
        <f t="shared" si="22"/>
        <v>5</v>
      </c>
    </row>
    <row r="46" spans="3:22">
      <c r="C46">
        <v>25</v>
      </c>
      <c r="D46">
        <f t="shared" si="23"/>
        <v>75</v>
      </c>
      <c r="E46" s="11">
        <f t="shared" si="21"/>
        <v>2</v>
      </c>
      <c r="F46" s="11">
        <f t="shared" si="21"/>
        <v>2.08</v>
      </c>
      <c r="G46" s="11">
        <f t="shared" si="21"/>
        <v>2.16</v>
      </c>
      <c r="H46" s="11">
        <f t="shared" si="21"/>
        <v>2.2400000000000002</v>
      </c>
      <c r="I46" s="11">
        <f t="shared" si="21"/>
        <v>2.3200000000000003</v>
      </c>
      <c r="J46" s="11">
        <f t="shared" si="22"/>
        <v>2.4</v>
      </c>
      <c r="K46" s="11">
        <f t="shared" si="22"/>
        <v>2.48</v>
      </c>
      <c r="L46" s="11">
        <f t="shared" si="22"/>
        <v>2.56</v>
      </c>
      <c r="M46" s="11">
        <f t="shared" si="22"/>
        <v>2.64</v>
      </c>
      <c r="N46" s="11">
        <f t="shared" si="22"/>
        <v>2.72</v>
      </c>
      <c r="O46" s="11">
        <f t="shared" si="22"/>
        <v>2.8</v>
      </c>
      <c r="P46" s="11">
        <f t="shared" si="22"/>
        <v>2.8</v>
      </c>
      <c r="Q46" s="11">
        <f t="shared" si="22"/>
        <v>2.8</v>
      </c>
      <c r="R46" s="11">
        <f t="shared" si="22"/>
        <v>2.8</v>
      </c>
      <c r="S46" s="11">
        <f t="shared" si="22"/>
        <v>2.8</v>
      </c>
      <c r="T46" s="11">
        <f t="shared" si="22"/>
        <v>2.8</v>
      </c>
      <c r="U46" s="11">
        <f t="shared" si="22"/>
        <v>2.8</v>
      </c>
      <c r="V46" s="11">
        <f t="shared" si="22"/>
        <v>4</v>
      </c>
    </row>
    <row r="47" spans="3:22">
      <c r="C47">
        <v>30</v>
      </c>
      <c r="D47">
        <f t="shared" si="23"/>
        <v>70</v>
      </c>
      <c r="E47" s="11">
        <f t="shared" si="21"/>
        <v>1.6666666666666667</v>
      </c>
      <c r="F47" s="11">
        <f t="shared" si="21"/>
        <v>1.7333333333333334</v>
      </c>
      <c r="G47" s="11">
        <f t="shared" si="21"/>
        <v>1.8000000000000003</v>
      </c>
      <c r="H47" s="11">
        <f t="shared" si="21"/>
        <v>1.8666666666666669</v>
      </c>
      <c r="I47" s="11">
        <f t="shared" si="21"/>
        <v>1.9333333333333336</v>
      </c>
      <c r="J47" s="11">
        <f t="shared" si="22"/>
        <v>2</v>
      </c>
      <c r="K47" s="11">
        <f t="shared" si="22"/>
        <v>2.0666666666666669</v>
      </c>
      <c r="L47" s="11">
        <f t="shared" si="22"/>
        <v>2.1333333333333333</v>
      </c>
      <c r="M47" s="11">
        <f t="shared" si="22"/>
        <v>2.2000000000000002</v>
      </c>
      <c r="N47" s="11">
        <f t="shared" si="22"/>
        <v>2.2666666666666671</v>
      </c>
      <c r="O47" s="11">
        <f t="shared" si="22"/>
        <v>2.3333333333333335</v>
      </c>
      <c r="P47" s="11">
        <f t="shared" si="22"/>
        <v>2.3333333333333335</v>
      </c>
      <c r="Q47" s="11">
        <f t="shared" si="22"/>
        <v>2.3333333333333335</v>
      </c>
      <c r="R47" s="11">
        <f t="shared" si="22"/>
        <v>2.3333333333333335</v>
      </c>
      <c r="S47" s="11">
        <f t="shared" si="22"/>
        <v>2.3333333333333335</v>
      </c>
      <c r="T47" s="11">
        <f t="shared" si="22"/>
        <v>2.3333333333333335</v>
      </c>
      <c r="U47" s="11">
        <f t="shared" si="22"/>
        <v>2.3333333333333335</v>
      </c>
      <c r="V47" s="11">
        <f t="shared" si="22"/>
        <v>3.3333333333333335</v>
      </c>
    </row>
    <row r="48" spans="3:22">
      <c r="C48">
        <v>35</v>
      </c>
      <c r="D48">
        <f t="shared" si="23"/>
        <v>65</v>
      </c>
      <c r="E48" s="11">
        <f t="shared" si="21"/>
        <v>1.4285714285714286</v>
      </c>
      <c r="F48" s="11">
        <f t="shared" si="21"/>
        <v>1.4857142857142858</v>
      </c>
      <c r="G48" s="11">
        <f t="shared" si="21"/>
        <v>1.5428571428571429</v>
      </c>
      <c r="H48" s="11">
        <f t="shared" si="21"/>
        <v>1.6</v>
      </c>
      <c r="I48" s="11">
        <f t="shared" si="21"/>
        <v>1.6571428571428575</v>
      </c>
      <c r="J48" s="11">
        <f t="shared" si="22"/>
        <v>1.7142857142857142</v>
      </c>
      <c r="K48" s="11">
        <f t="shared" si="22"/>
        <v>1.7714285714285714</v>
      </c>
      <c r="L48" s="11">
        <f t="shared" si="22"/>
        <v>1.8285714285714287</v>
      </c>
      <c r="M48" s="11">
        <f t="shared" si="22"/>
        <v>1.8857142857142859</v>
      </c>
      <c r="N48" s="11">
        <f t="shared" si="22"/>
        <v>1.9428571428571431</v>
      </c>
      <c r="O48" s="11">
        <f t="shared" si="22"/>
        <v>2</v>
      </c>
      <c r="P48" s="11">
        <f t="shared" si="22"/>
        <v>2</v>
      </c>
      <c r="Q48" s="11">
        <f t="shared" si="22"/>
        <v>2</v>
      </c>
      <c r="R48" s="11">
        <f t="shared" si="22"/>
        <v>2</v>
      </c>
      <c r="S48" s="11">
        <f t="shared" si="22"/>
        <v>2</v>
      </c>
      <c r="T48" s="11">
        <f t="shared" si="22"/>
        <v>2</v>
      </c>
      <c r="U48" s="11">
        <f t="shared" si="22"/>
        <v>2</v>
      </c>
      <c r="V48" s="11">
        <f t="shared" si="22"/>
        <v>2.8571428571428572</v>
      </c>
    </row>
    <row r="49" spans="3:22">
      <c r="C49">
        <v>40</v>
      </c>
      <c r="D49">
        <f t="shared" si="23"/>
        <v>60</v>
      </c>
      <c r="E49" s="11">
        <f t="shared" si="21"/>
        <v>1.25</v>
      </c>
      <c r="F49" s="11">
        <f t="shared" si="21"/>
        <v>1.3</v>
      </c>
      <c r="G49" s="11">
        <f t="shared" si="21"/>
        <v>1.35</v>
      </c>
      <c r="H49" s="11">
        <f t="shared" si="21"/>
        <v>1.4000000000000001</v>
      </c>
      <c r="I49" s="11">
        <f t="shared" si="21"/>
        <v>1.4500000000000002</v>
      </c>
      <c r="J49" s="11">
        <f t="shared" si="22"/>
        <v>1.5</v>
      </c>
      <c r="K49" s="11">
        <f t="shared" si="22"/>
        <v>1.55</v>
      </c>
      <c r="L49" s="11">
        <f t="shared" si="22"/>
        <v>1.6</v>
      </c>
      <c r="M49" s="11">
        <f t="shared" si="22"/>
        <v>1.6500000000000001</v>
      </c>
      <c r="N49" s="11">
        <f t="shared" si="22"/>
        <v>1.7000000000000002</v>
      </c>
      <c r="O49" s="11">
        <f t="shared" si="22"/>
        <v>1.75</v>
      </c>
      <c r="P49" s="11">
        <f t="shared" si="22"/>
        <v>1.75</v>
      </c>
      <c r="Q49" s="11">
        <f t="shared" si="22"/>
        <v>1.75</v>
      </c>
      <c r="R49" s="11">
        <f t="shared" si="22"/>
        <v>1.75</v>
      </c>
      <c r="S49" s="11">
        <f t="shared" si="22"/>
        <v>1.75</v>
      </c>
      <c r="T49" s="11">
        <f t="shared" si="22"/>
        <v>1.75</v>
      </c>
      <c r="U49" s="11">
        <f t="shared" si="22"/>
        <v>1.75</v>
      </c>
      <c r="V49" s="11">
        <f t="shared" si="22"/>
        <v>2.5</v>
      </c>
    </row>
    <row r="50" spans="3:22">
      <c r="C50">
        <v>45</v>
      </c>
      <c r="D50">
        <f t="shared" si="23"/>
        <v>55</v>
      </c>
      <c r="E50" s="11">
        <f t="shared" si="21"/>
        <v>1.1111111111111112</v>
      </c>
      <c r="F50" s="11">
        <f t="shared" si="21"/>
        <v>1.1555555555555557</v>
      </c>
      <c r="G50" s="11">
        <f t="shared" si="21"/>
        <v>1.2000000000000002</v>
      </c>
      <c r="H50" s="11">
        <f t="shared" si="21"/>
        <v>1.2444444444444447</v>
      </c>
      <c r="I50" s="11">
        <f t="shared" si="21"/>
        <v>1.2888888888888892</v>
      </c>
      <c r="J50" s="11">
        <f t="shared" si="22"/>
        <v>1.3333333333333333</v>
      </c>
      <c r="K50" s="11">
        <f t="shared" si="22"/>
        <v>1.3777777777777778</v>
      </c>
      <c r="L50" s="11">
        <f t="shared" si="22"/>
        <v>1.4222222222222223</v>
      </c>
      <c r="M50" s="11">
        <f t="shared" si="22"/>
        <v>1.4666666666666668</v>
      </c>
      <c r="N50" s="11">
        <f t="shared" si="22"/>
        <v>1.5111111111111113</v>
      </c>
      <c r="O50" s="11">
        <f t="shared" si="22"/>
        <v>1.5555555555555556</v>
      </c>
      <c r="P50" s="11">
        <f t="shared" si="22"/>
        <v>1.5555555555555556</v>
      </c>
      <c r="Q50" s="11">
        <f t="shared" si="22"/>
        <v>1.5555555555555556</v>
      </c>
      <c r="R50" s="11">
        <f t="shared" si="22"/>
        <v>1.5555555555555556</v>
      </c>
      <c r="S50" s="11">
        <f t="shared" si="22"/>
        <v>1.5555555555555556</v>
      </c>
      <c r="T50" s="11">
        <f t="shared" si="22"/>
        <v>1.5555555555555556</v>
      </c>
      <c r="U50" s="11">
        <f t="shared" si="22"/>
        <v>1.5555555555555556</v>
      </c>
      <c r="V50" s="11">
        <f t="shared" si="22"/>
        <v>2.2222222222222223</v>
      </c>
    </row>
    <row r="51" spans="3:22">
      <c r="C51">
        <v>50</v>
      </c>
      <c r="D51">
        <f t="shared" si="23"/>
        <v>50</v>
      </c>
      <c r="E51" s="11">
        <f t="shared" ref="E51:I65" si="24">$D$39/$C51*E$38</f>
        <v>1</v>
      </c>
      <c r="F51" s="11">
        <f t="shared" si="24"/>
        <v>1.04</v>
      </c>
      <c r="G51" s="11">
        <f t="shared" si="24"/>
        <v>1.08</v>
      </c>
      <c r="H51" s="11">
        <f t="shared" si="24"/>
        <v>1.1200000000000001</v>
      </c>
      <c r="I51" s="11">
        <f t="shared" si="24"/>
        <v>1.1600000000000001</v>
      </c>
      <c r="J51" s="11">
        <f t="shared" si="22"/>
        <v>1.2</v>
      </c>
      <c r="K51" s="11">
        <f t="shared" si="22"/>
        <v>1.24</v>
      </c>
      <c r="L51" s="11">
        <f t="shared" si="22"/>
        <v>1.28</v>
      </c>
      <c r="M51" s="11">
        <f t="shared" si="22"/>
        <v>1.32</v>
      </c>
      <c r="N51" s="11">
        <f t="shared" si="22"/>
        <v>1.36</v>
      </c>
      <c r="O51" s="11">
        <f t="shared" si="22"/>
        <v>1.4</v>
      </c>
      <c r="P51" s="11">
        <f t="shared" si="22"/>
        <v>1.4</v>
      </c>
      <c r="Q51" s="11">
        <f t="shared" si="22"/>
        <v>1.4</v>
      </c>
      <c r="R51" s="11">
        <f t="shared" si="22"/>
        <v>1.4</v>
      </c>
      <c r="S51" s="11">
        <f t="shared" si="22"/>
        <v>1.4</v>
      </c>
      <c r="T51" s="11">
        <f t="shared" si="22"/>
        <v>1.4</v>
      </c>
      <c r="U51" s="11">
        <f t="shared" si="22"/>
        <v>1.4</v>
      </c>
      <c r="V51" s="11">
        <f t="shared" si="22"/>
        <v>2</v>
      </c>
    </row>
    <row r="52" spans="3:22">
      <c r="C52">
        <v>55</v>
      </c>
      <c r="D52">
        <f t="shared" si="23"/>
        <v>45</v>
      </c>
      <c r="E52" s="11">
        <f t="shared" si="24"/>
        <v>0.90909090909090906</v>
      </c>
      <c r="F52" s="11">
        <f t="shared" si="24"/>
        <v>0.94545454545454544</v>
      </c>
      <c r="G52" s="11">
        <f t="shared" si="24"/>
        <v>0.98181818181818181</v>
      </c>
      <c r="H52" s="11">
        <f t="shared" si="24"/>
        <v>1.0181818181818183</v>
      </c>
      <c r="I52" s="11">
        <f t="shared" si="24"/>
        <v>1.0545454545454547</v>
      </c>
      <c r="J52" s="11">
        <f t="shared" si="22"/>
        <v>1.0909090909090908</v>
      </c>
      <c r="K52" s="11">
        <f t="shared" si="22"/>
        <v>1.1272727272727272</v>
      </c>
      <c r="L52" s="11">
        <f t="shared" si="22"/>
        <v>1.1636363636363636</v>
      </c>
      <c r="M52" s="11">
        <f t="shared" si="22"/>
        <v>1.2</v>
      </c>
      <c r="N52" s="11">
        <f t="shared" si="22"/>
        <v>1.2363636363636363</v>
      </c>
      <c r="O52" s="11">
        <f t="shared" si="22"/>
        <v>1.2727272727272727</v>
      </c>
      <c r="P52" s="11">
        <f t="shared" si="22"/>
        <v>1.2727272727272727</v>
      </c>
      <c r="Q52" s="11">
        <f t="shared" si="22"/>
        <v>1.2727272727272727</v>
      </c>
      <c r="R52" s="11">
        <f t="shared" si="22"/>
        <v>1.2727272727272727</v>
      </c>
      <c r="S52" s="11">
        <f t="shared" si="22"/>
        <v>1.2727272727272727</v>
      </c>
      <c r="T52" s="11">
        <f t="shared" si="22"/>
        <v>1.2727272727272727</v>
      </c>
      <c r="U52" s="11">
        <f t="shared" si="22"/>
        <v>1.2727272727272727</v>
      </c>
      <c r="V52" s="11">
        <f t="shared" si="22"/>
        <v>1.8181818181818181</v>
      </c>
    </row>
    <row r="53" spans="3:22">
      <c r="C53">
        <v>60</v>
      </c>
      <c r="D53">
        <f t="shared" si="23"/>
        <v>40</v>
      </c>
      <c r="E53" s="11">
        <f t="shared" si="24"/>
        <v>0.83333333333333337</v>
      </c>
      <c r="F53" s="11">
        <f t="shared" si="24"/>
        <v>0.8666666666666667</v>
      </c>
      <c r="G53" s="11">
        <f t="shared" si="24"/>
        <v>0.90000000000000013</v>
      </c>
      <c r="H53" s="11">
        <f t="shared" si="24"/>
        <v>0.93333333333333346</v>
      </c>
      <c r="I53" s="11">
        <f t="shared" si="24"/>
        <v>0.96666666666666679</v>
      </c>
      <c r="J53" s="11">
        <f t="shared" si="22"/>
        <v>1</v>
      </c>
      <c r="K53" s="11">
        <f t="shared" si="22"/>
        <v>1.0333333333333334</v>
      </c>
      <c r="L53" s="11">
        <f t="shared" si="22"/>
        <v>1.0666666666666667</v>
      </c>
      <c r="M53" s="11">
        <f t="shared" si="22"/>
        <v>1.1000000000000001</v>
      </c>
      <c r="N53" s="11">
        <f t="shared" si="22"/>
        <v>1.1333333333333335</v>
      </c>
      <c r="O53" s="11">
        <f t="shared" si="22"/>
        <v>1.1666666666666667</v>
      </c>
      <c r="P53" s="11">
        <f t="shared" si="22"/>
        <v>1.1666666666666667</v>
      </c>
      <c r="Q53" s="11">
        <f t="shared" si="22"/>
        <v>1.1666666666666667</v>
      </c>
      <c r="R53" s="11">
        <f t="shared" si="22"/>
        <v>1.1666666666666667</v>
      </c>
      <c r="S53" s="11">
        <f t="shared" si="22"/>
        <v>1.1666666666666667</v>
      </c>
      <c r="T53" s="11">
        <f t="shared" si="22"/>
        <v>1.1666666666666667</v>
      </c>
      <c r="U53" s="11">
        <f t="shared" si="22"/>
        <v>1.1666666666666667</v>
      </c>
      <c r="V53" s="11">
        <f t="shared" si="22"/>
        <v>1.6666666666666667</v>
      </c>
    </row>
    <row r="54" spans="3:22">
      <c r="C54">
        <v>65</v>
      </c>
      <c r="D54">
        <f t="shared" si="23"/>
        <v>35</v>
      </c>
      <c r="E54" s="11">
        <f t="shared" si="24"/>
        <v>0.76923076923076927</v>
      </c>
      <c r="F54" s="11">
        <f t="shared" si="24"/>
        <v>0.8</v>
      </c>
      <c r="G54" s="11">
        <f t="shared" si="24"/>
        <v>0.83076923076923082</v>
      </c>
      <c r="H54" s="11">
        <f t="shared" si="24"/>
        <v>0.8615384615384617</v>
      </c>
      <c r="I54" s="11">
        <f t="shared" si="24"/>
        <v>0.89230769230769247</v>
      </c>
      <c r="J54" s="11">
        <f t="shared" si="22"/>
        <v>0.92307692307692313</v>
      </c>
      <c r="K54" s="11">
        <f t="shared" si="22"/>
        <v>0.9538461538461539</v>
      </c>
      <c r="L54" s="11">
        <f t="shared" si="22"/>
        <v>0.98461538461538467</v>
      </c>
      <c r="M54" s="11">
        <f t="shared" si="22"/>
        <v>1.0153846153846156</v>
      </c>
      <c r="N54" s="11">
        <f t="shared" si="22"/>
        <v>1.0461538461538462</v>
      </c>
      <c r="O54" s="11">
        <f t="shared" si="22"/>
        <v>1.0769230769230769</v>
      </c>
      <c r="P54" s="11">
        <f t="shared" si="22"/>
        <v>1.0769230769230769</v>
      </c>
      <c r="Q54" s="11">
        <f t="shared" si="22"/>
        <v>1.0769230769230769</v>
      </c>
      <c r="R54" s="11">
        <f t="shared" si="22"/>
        <v>1.0769230769230769</v>
      </c>
      <c r="S54" s="11">
        <f t="shared" si="22"/>
        <v>1.0769230769230769</v>
      </c>
      <c r="T54" s="11">
        <f t="shared" si="22"/>
        <v>1.0769230769230769</v>
      </c>
      <c r="U54" s="11">
        <f t="shared" si="22"/>
        <v>1.0769230769230769</v>
      </c>
      <c r="V54" s="11">
        <f t="shared" si="22"/>
        <v>1.5384615384615385</v>
      </c>
    </row>
    <row r="55" spans="3:22">
      <c r="C55">
        <v>70</v>
      </c>
      <c r="D55">
        <f t="shared" si="23"/>
        <v>30</v>
      </c>
      <c r="E55" s="11">
        <f t="shared" si="24"/>
        <v>0.7142857142857143</v>
      </c>
      <c r="F55" s="11">
        <f t="shared" si="24"/>
        <v>0.74285714285714288</v>
      </c>
      <c r="G55" s="11">
        <f t="shared" si="24"/>
        <v>0.77142857142857146</v>
      </c>
      <c r="H55" s="11">
        <f t="shared" si="24"/>
        <v>0.8</v>
      </c>
      <c r="I55" s="11">
        <f t="shared" si="24"/>
        <v>0.82857142857142874</v>
      </c>
      <c r="J55" s="11">
        <f t="shared" si="22"/>
        <v>0.8571428571428571</v>
      </c>
      <c r="K55" s="11">
        <f t="shared" si="22"/>
        <v>0.88571428571428568</v>
      </c>
      <c r="L55" s="11">
        <f t="shared" si="22"/>
        <v>0.91428571428571437</v>
      </c>
      <c r="M55" s="11">
        <f t="shared" si="22"/>
        <v>0.94285714285714295</v>
      </c>
      <c r="N55" s="11">
        <f t="shared" si="22"/>
        <v>0.97142857142857153</v>
      </c>
      <c r="O55" s="11">
        <f t="shared" si="22"/>
        <v>1</v>
      </c>
      <c r="P55" s="11">
        <f t="shared" si="22"/>
        <v>1</v>
      </c>
      <c r="Q55" s="11">
        <f t="shared" si="22"/>
        <v>1</v>
      </c>
      <c r="R55" s="11">
        <f t="shared" si="22"/>
        <v>1</v>
      </c>
      <c r="S55" s="11">
        <f t="shared" si="22"/>
        <v>1</v>
      </c>
      <c r="T55" s="11">
        <f t="shared" si="22"/>
        <v>1</v>
      </c>
      <c r="U55" s="11">
        <f t="shared" si="22"/>
        <v>1</v>
      </c>
      <c r="V55" s="11">
        <f t="shared" si="22"/>
        <v>1.4285714285714286</v>
      </c>
    </row>
    <row r="56" spans="3:22">
      <c r="C56">
        <v>75</v>
      </c>
      <c r="D56">
        <f t="shared" si="23"/>
        <v>25</v>
      </c>
      <c r="E56" s="11">
        <f t="shared" si="24"/>
        <v>0.66666666666666663</v>
      </c>
      <c r="F56" s="11">
        <f t="shared" si="24"/>
        <v>0.69333333333333336</v>
      </c>
      <c r="G56" s="11">
        <f t="shared" si="24"/>
        <v>0.72</v>
      </c>
      <c r="H56" s="11">
        <f t="shared" si="24"/>
        <v>0.7466666666666667</v>
      </c>
      <c r="I56" s="11">
        <f t="shared" si="24"/>
        <v>0.77333333333333343</v>
      </c>
      <c r="J56" s="11">
        <f t="shared" si="22"/>
        <v>0.79999999999999993</v>
      </c>
      <c r="K56" s="11">
        <f t="shared" si="22"/>
        <v>0.82666666666666666</v>
      </c>
      <c r="L56" s="11">
        <f t="shared" si="22"/>
        <v>0.85333333333333328</v>
      </c>
      <c r="M56" s="11">
        <f t="shared" si="22"/>
        <v>0.88</v>
      </c>
      <c r="N56" s="11">
        <f t="shared" si="22"/>
        <v>0.90666666666666673</v>
      </c>
      <c r="O56" s="11">
        <f t="shared" si="22"/>
        <v>0.93333333333333324</v>
      </c>
      <c r="P56" s="11">
        <f t="shared" si="22"/>
        <v>0.93333333333333324</v>
      </c>
      <c r="Q56" s="11">
        <f t="shared" si="22"/>
        <v>0.93333333333333324</v>
      </c>
      <c r="R56" s="11">
        <f t="shared" si="22"/>
        <v>0.93333333333333324</v>
      </c>
      <c r="S56" s="11">
        <f t="shared" si="22"/>
        <v>0.93333333333333324</v>
      </c>
      <c r="T56" s="11">
        <f t="shared" si="22"/>
        <v>0.93333333333333324</v>
      </c>
      <c r="U56" s="11">
        <f t="shared" si="22"/>
        <v>0.93333333333333324</v>
      </c>
      <c r="V56" s="11">
        <f t="shared" si="22"/>
        <v>1.3333333333333333</v>
      </c>
    </row>
    <row r="57" spans="3:22">
      <c r="C57">
        <v>80</v>
      </c>
      <c r="D57">
        <f t="shared" si="23"/>
        <v>20</v>
      </c>
      <c r="E57" s="11">
        <f t="shared" si="24"/>
        <v>0.625</v>
      </c>
      <c r="F57" s="11">
        <f t="shared" si="24"/>
        <v>0.65</v>
      </c>
      <c r="G57" s="11">
        <f t="shared" si="24"/>
        <v>0.67500000000000004</v>
      </c>
      <c r="H57" s="11">
        <f t="shared" si="24"/>
        <v>0.70000000000000007</v>
      </c>
      <c r="I57" s="11">
        <f t="shared" si="24"/>
        <v>0.72500000000000009</v>
      </c>
      <c r="J57" s="11">
        <f t="shared" ref="J57:V65" si="25">$D$39/$C57*J$38</f>
        <v>0.75</v>
      </c>
      <c r="K57" s="11">
        <f t="shared" si="25"/>
        <v>0.77500000000000002</v>
      </c>
      <c r="L57" s="11">
        <f t="shared" si="25"/>
        <v>0.8</v>
      </c>
      <c r="M57" s="11">
        <f t="shared" si="25"/>
        <v>0.82500000000000007</v>
      </c>
      <c r="N57" s="11">
        <f t="shared" si="25"/>
        <v>0.85000000000000009</v>
      </c>
      <c r="O57" s="11">
        <f t="shared" si="25"/>
        <v>0.875</v>
      </c>
      <c r="P57" s="11">
        <f t="shared" si="25"/>
        <v>0.875</v>
      </c>
      <c r="Q57" s="11">
        <f t="shared" si="25"/>
        <v>0.875</v>
      </c>
      <c r="R57" s="11">
        <f t="shared" si="25"/>
        <v>0.875</v>
      </c>
      <c r="S57" s="11">
        <f t="shared" si="25"/>
        <v>0.875</v>
      </c>
      <c r="T57" s="11">
        <f t="shared" si="25"/>
        <v>0.875</v>
      </c>
      <c r="U57" s="11">
        <f t="shared" si="25"/>
        <v>0.875</v>
      </c>
      <c r="V57" s="11">
        <f t="shared" si="25"/>
        <v>1.25</v>
      </c>
    </row>
    <row r="58" spans="3:22">
      <c r="C58">
        <v>85</v>
      </c>
      <c r="D58">
        <f t="shared" si="23"/>
        <v>15</v>
      </c>
      <c r="E58" s="11">
        <f t="shared" si="24"/>
        <v>0.58823529411764708</v>
      </c>
      <c r="F58" s="11">
        <f t="shared" si="24"/>
        <v>0.61176470588235299</v>
      </c>
      <c r="G58" s="11">
        <f t="shared" si="24"/>
        <v>0.6352941176470589</v>
      </c>
      <c r="H58" s="11">
        <f t="shared" si="24"/>
        <v>0.65882352941176481</v>
      </c>
      <c r="I58" s="11">
        <f t="shared" si="24"/>
        <v>0.68235294117647072</v>
      </c>
      <c r="J58" s="11">
        <f t="shared" si="25"/>
        <v>0.70588235294117652</v>
      </c>
      <c r="K58" s="11">
        <f t="shared" si="25"/>
        <v>0.72941176470588243</v>
      </c>
      <c r="L58" s="11">
        <f t="shared" si="25"/>
        <v>0.75294117647058822</v>
      </c>
      <c r="M58" s="11">
        <f t="shared" si="25"/>
        <v>0.77647058823529413</v>
      </c>
      <c r="N58" s="11">
        <f t="shared" si="25"/>
        <v>0.8</v>
      </c>
      <c r="O58" s="11">
        <f t="shared" si="25"/>
        <v>0.82352941176470584</v>
      </c>
      <c r="P58" s="11">
        <f t="shared" si="25"/>
        <v>0.82352941176470584</v>
      </c>
      <c r="Q58" s="11">
        <f t="shared" si="25"/>
        <v>0.82352941176470584</v>
      </c>
      <c r="R58" s="11">
        <f t="shared" si="25"/>
        <v>0.82352941176470584</v>
      </c>
      <c r="S58" s="11">
        <f t="shared" si="25"/>
        <v>0.82352941176470584</v>
      </c>
      <c r="T58" s="11">
        <f t="shared" si="25"/>
        <v>0.82352941176470584</v>
      </c>
      <c r="U58" s="11">
        <f t="shared" si="25"/>
        <v>0.82352941176470584</v>
      </c>
      <c r="V58" s="11">
        <f t="shared" si="25"/>
        <v>1.1764705882352942</v>
      </c>
    </row>
    <row r="59" spans="3:22">
      <c r="C59">
        <v>90</v>
      </c>
      <c r="D59">
        <f t="shared" si="23"/>
        <v>10</v>
      </c>
      <c r="E59" s="11">
        <f t="shared" si="24"/>
        <v>0.55555555555555558</v>
      </c>
      <c r="F59" s="11">
        <f t="shared" si="24"/>
        <v>0.57777777777777783</v>
      </c>
      <c r="G59" s="11">
        <f t="shared" si="24"/>
        <v>0.60000000000000009</v>
      </c>
      <c r="H59" s="11">
        <f t="shared" si="24"/>
        <v>0.62222222222222234</v>
      </c>
      <c r="I59" s="11">
        <f t="shared" si="24"/>
        <v>0.6444444444444446</v>
      </c>
      <c r="J59" s="11">
        <f t="shared" si="25"/>
        <v>0.66666666666666663</v>
      </c>
      <c r="K59" s="11">
        <f t="shared" si="25"/>
        <v>0.68888888888888888</v>
      </c>
      <c r="L59" s="11">
        <f t="shared" si="25"/>
        <v>0.71111111111111114</v>
      </c>
      <c r="M59" s="11">
        <f t="shared" si="25"/>
        <v>0.73333333333333339</v>
      </c>
      <c r="N59" s="11">
        <f t="shared" si="25"/>
        <v>0.75555555555555565</v>
      </c>
      <c r="O59" s="11">
        <f t="shared" si="25"/>
        <v>0.77777777777777779</v>
      </c>
      <c r="P59" s="11">
        <f t="shared" si="25"/>
        <v>0.77777777777777779</v>
      </c>
      <c r="Q59" s="11">
        <f t="shared" si="25"/>
        <v>0.77777777777777779</v>
      </c>
      <c r="R59" s="11">
        <f t="shared" si="25"/>
        <v>0.77777777777777779</v>
      </c>
      <c r="S59" s="11">
        <f t="shared" si="25"/>
        <v>0.77777777777777779</v>
      </c>
      <c r="T59" s="11">
        <f t="shared" si="25"/>
        <v>0.77777777777777779</v>
      </c>
      <c r="U59" s="11">
        <f t="shared" si="25"/>
        <v>0.77777777777777779</v>
      </c>
      <c r="V59" s="11">
        <f t="shared" si="25"/>
        <v>1.1111111111111112</v>
      </c>
    </row>
    <row r="60" spans="3:22">
      <c r="C60">
        <v>95</v>
      </c>
      <c r="D60">
        <f t="shared" si="23"/>
        <v>5</v>
      </c>
      <c r="E60" s="11">
        <f t="shared" si="24"/>
        <v>0.52631578947368418</v>
      </c>
      <c r="F60" s="11">
        <f t="shared" si="24"/>
        <v>0.54736842105263162</v>
      </c>
      <c r="G60" s="11">
        <f t="shared" si="24"/>
        <v>0.56842105263157894</v>
      </c>
      <c r="H60" s="11">
        <f t="shared" si="24"/>
        <v>0.58947368421052637</v>
      </c>
      <c r="I60" s="11">
        <f t="shared" si="24"/>
        <v>0.61052631578947369</v>
      </c>
      <c r="J60" s="11">
        <f t="shared" si="25"/>
        <v>0.63157894736842102</v>
      </c>
      <c r="K60" s="11">
        <f t="shared" si="25"/>
        <v>0.65263157894736834</v>
      </c>
      <c r="L60" s="11">
        <f t="shared" si="25"/>
        <v>0.67368421052631577</v>
      </c>
      <c r="M60" s="11">
        <f t="shared" si="25"/>
        <v>0.6947368421052631</v>
      </c>
      <c r="N60" s="11">
        <f t="shared" si="25"/>
        <v>0.71578947368421053</v>
      </c>
      <c r="O60" s="11">
        <f t="shared" si="25"/>
        <v>0.73684210526315785</v>
      </c>
      <c r="P60" s="11">
        <f t="shared" si="25"/>
        <v>0.73684210526315785</v>
      </c>
      <c r="Q60" s="11">
        <f t="shared" si="25"/>
        <v>0.73684210526315785</v>
      </c>
      <c r="R60" s="11">
        <f t="shared" si="25"/>
        <v>0.73684210526315785</v>
      </c>
      <c r="S60" s="11">
        <f t="shared" si="25"/>
        <v>0.73684210526315785</v>
      </c>
      <c r="T60" s="11">
        <f t="shared" si="25"/>
        <v>0.73684210526315785</v>
      </c>
      <c r="U60" s="11">
        <f t="shared" si="25"/>
        <v>0.73684210526315785</v>
      </c>
      <c r="V60" s="11">
        <f t="shared" si="25"/>
        <v>1.0526315789473684</v>
      </c>
    </row>
    <row r="61" spans="3:22">
      <c r="C61">
        <v>100</v>
      </c>
      <c r="D61">
        <f t="shared" si="23"/>
        <v>0</v>
      </c>
      <c r="E61" s="11">
        <f t="shared" si="24"/>
        <v>0.5</v>
      </c>
      <c r="F61" s="11">
        <f t="shared" si="24"/>
        <v>0.52</v>
      </c>
      <c r="G61" s="11">
        <f t="shared" si="24"/>
        <v>0.54</v>
      </c>
      <c r="H61" s="11">
        <f t="shared" si="24"/>
        <v>0.56000000000000005</v>
      </c>
      <c r="I61" s="11">
        <f t="shared" si="24"/>
        <v>0.58000000000000007</v>
      </c>
      <c r="J61" s="11">
        <f t="shared" si="25"/>
        <v>0.6</v>
      </c>
      <c r="K61" s="11">
        <f t="shared" si="25"/>
        <v>0.62</v>
      </c>
      <c r="L61" s="11">
        <f t="shared" si="25"/>
        <v>0.64</v>
      </c>
      <c r="M61" s="11">
        <f t="shared" si="25"/>
        <v>0.66</v>
      </c>
      <c r="N61" s="11">
        <f t="shared" si="25"/>
        <v>0.68</v>
      </c>
      <c r="O61" s="11">
        <f t="shared" si="25"/>
        <v>0.7</v>
      </c>
      <c r="P61" s="11">
        <f t="shared" si="25"/>
        <v>0.7</v>
      </c>
      <c r="Q61" s="11">
        <f t="shared" si="25"/>
        <v>0.7</v>
      </c>
      <c r="R61" s="11">
        <f t="shared" si="25"/>
        <v>0.7</v>
      </c>
      <c r="S61" s="11">
        <f t="shared" si="25"/>
        <v>0.7</v>
      </c>
      <c r="T61" s="11">
        <f t="shared" si="25"/>
        <v>0.7</v>
      </c>
      <c r="U61" s="11">
        <f t="shared" si="25"/>
        <v>0.7</v>
      </c>
      <c r="V61" s="11">
        <f t="shared" si="25"/>
        <v>1</v>
      </c>
    </row>
    <row r="62" spans="3:22">
      <c r="C62">
        <v>105</v>
      </c>
      <c r="D62">
        <f t="shared" si="23"/>
        <v>-5</v>
      </c>
      <c r="E62" s="11">
        <f t="shared" si="24"/>
        <v>0.47619047619047616</v>
      </c>
      <c r="F62" s="11">
        <f t="shared" si="24"/>
        <v>0.49523809523809526</v>
      </c>
      <c r="G62" s="11">
        <f t="shared" si="24"/>
        <v>0.51428571428571435</v>
      </c>
      <c r="H62" s="11">
        <f t="shared" si="24"/>
        <v>0.53333333333333333</v>
      </c>
      <c r="I62" s="11">
        <f t="shared" si="24"/>
        <v>0.55238095238095242</v>
      </c>
      <c r="J62" s="11">
        <f t="shared" si="25"/>
        <v>0.5714285714285714</v>
      </c>
      <c r="K62" s="11">
        <f t="shared" si="25"/>
        <v>0.59047619047619049</v>
      </c>
      <c r="L62" s="11">
        <f t="shared" si="25"/>
        <v>0.60952380952380947</v>
      </c>
      <c r="M62" s="11">
        <f t="shared" si="25"/>
        <v>0.62857142857142856</v>
      </c>
      <c r="N62" s="11">
        <f t="shared" si="25"/>
        <v>0.64761904761904765</v>
      </c>
      <c r="O62" s="11">
        <f t="shared" si="25"/>
        <v>0.66666666666666663</v>
      </c>
      <c r="P62" s="11">
        <f t="shared" si="25"/>
        <v>0.66666666666666663</v>
      </c>
      <c r="Q62" s="11">
        <f t="shared" si="25"/>
        <v>0.66666666666666663</v>
      </c>
      <c r="R62" s="11">
        <f t="shared" si="25"/>
        <v>0.66666666666666663</v>
      </c>
      <c r="S62" s="11">
        <f t="shared" si="25"/>
        <v>0.66666666666666663</v>
      </c>
      <c r="T62" s="11">
        <f t="shared" si="25"/>
        <v>0.66666666666666663</v>
      </c>
      <c r="U62" s="11">
        <f t="shared" si="25"/>
        <v>0.66666666666666663</v>
      </c>
      <c r="V62" s="11">
        <f t="shared" si="25"/>
        <v>0.95238095238095233</v>
      </c>
    </row>
    <row r="63" spans="3:22">
      <c r="C63">
        <v>110</v>
      </c>
      <c r="D63">
        <f t="shared" si="23"/>
        <v>-10</v>
      </c>
      <c r="E63" s="11">
        <f t="shared" si="24"/>
        <v>0.45454545454545453</v>
      </c>
      <c r="F63" s="11">
        <f t="shared" si="24"/>
        <v>0.47272727272727272</v>
      </c>
      <c r="G63" s="11">
        <f t="shared" si="24"/>
        <v>0.49090909090909091</v>
      </c>
      <c r="H63" s="11">
        <f t="shared" si="24"/>
        <v>0.50909090909090915</v>
      </c>
      <c r="I63" s="11">
        <f t="shared" si="24"/>
        <v>0.52727272727272734</v>
      </c>
      <c r="J63" s="11">
        <f t="shared" si="25"/>
        <v>0.54545454545454541</v>
      </c>
      <c r="K63" s="11">
        <f t="shared" si="25"/>
        <v>0.5636363636363636</v>
      </c>
      <c r="L63" s="11">
        <f t="shared" si="25"/>
        <v>0.58181818181818179</v>
      </c>
      <c r="M63" s="11">
        <f t="shared" si="25"/>
        <v>0.6</v>
      </c>
      <c r="N63" s="11">
        <f t="shared" si="25"/>
        <v>0.61818181818181817</v>
      </c>
      <c r="O63" s="11">
        <f t="shared" si="25"/>
        <v>0.63636363636363635</v>
      </c>
      <c r="P63" s="11">
        <f t="shared" si="25"/>
        <v>0.63636363636363635</v>
      </c>
      <c r="Q63" s="11">
        <f t="shared" si="25"/>
        <v>0.63636363636363635</v>
      </c>
      <c r="R63" s="11">
        <f t="shared" si="25"/>
        <v>0.63636363636363635</v>
      </c>
      <c r="S63" s="11">
        <f t="shared" si="25"/>
        <v>0.63636363636363635</v>
      </c>
      <c r="T63" s="11">
        <f t="shared" si="25"/>
        <v>0.63636363636363635</v>
      </c>
      <c r="U63" s="11">
        <f t="shared" si="25"/>
        <v>0.63636363636363635</v>
      </c>
      <c r="V63" s="11">
        <f t="shared" si="25"/>
        <v>0.90909090909090906</v>
      </c>
    </row>
    <row r="64" spans="3:22">
      <c r="C64">
        <v>115</v>
      </c>
      <c r="D64">
        <f t="shared" si="23"/>
        <v>-15</v>
      </c>
      <c r="E64" s="11">
        <f t="shared" si="24"/>
        <v>0.43478260869565216</v>
      </c>
      <c r="F64" s="11">
        <f t="shared" si="24"/>
        <v>0.45217391304347826</v>
      </c>
      <c r="G64" s="11">
        <f t="shared" si="24"/>
        <v>0.46956521739130436</v>
      </c>
      <c r="H64" s="11">
        <f t="shared" si="24"/>
        <v>0.48695652173913045</v>
      </c>
      <c r="I64" s="11">
        <f t="shared" si="24"/>
        <v>0.50434782608695661</v>
      </c>
      <c r="J64" s="11">
        <f t="shared" si="25"/>
        <v>0.52173913043478259</v>
      </c>
      <c r="K64" s="11">
        <f t="shared" si="25"/>
        <v>0.53913043478260869</v>
      </c>
      <c r="L64" s="11">
        <f t="shared" si="25"/>
        <v>0.55652173913043479</v>
      </c>
      <c r="M64" s="11">
        <f t="shared" si="25"/>
        <v>0.57391304347826089</v>
      </c>
      <c r="N64" s="11">
        <f t="shared" si="25"/>
        <v>0.59130434782608698</v>
      </c>
      <c r="O64" s="11">
        <f t="shared" si="25"/>
        <v>0.60869565217391297</v>
      </c>
      <c r="P64" s="11">
        <f t="shared" si="25"/>
        <v>0.60869565217391297</v>
      </c>
      <c r="Q64" s="11">
        <f t="shared" si="25"/>
        <v>0.60869565217391297</v>
      </c>
      <c r="R64" s="11">
        <f t="shared" si="25"/>
        <v>0.60869565217391297</v>
      </c>
      <c r="S64" s="11">
        <f t="shared" si="25"/>
        <v>0.60869565217391297</v>
      </c>
      <c r="T64" s="11">
        <f t="shared" si="25"/>
        <v>0.60869565217391297</v>
      </c>
      <c r="U64" s="11">
        <f t="shared" si="25"/>
        <v>0.60869565217391297</v>
      </c>
      <c r="V64" s="11">
        <f t="shared" si="25"/>
        <v>0.86956521739130432</v>
      </c>
    </row>
    <row r="65" spans="3:22">
      <c r="C65">
        <v>120</v>
      </c>
      <c r="D65">
        <f t="shared" si="23"/>
        <v>-20</v>
      </c>
      <c r="E65" s="11">
        <f t="shared" si="24"/>
        <v>0.41666666666666669</v>
      </c>
      <c r="F65" s="11">
        <f t="shared" si="24"/>
        <v>0.43333333333333335</v>
      </c>
      <c r="G65" s="11">
        <f t="shared" si="24"/>
        <v>0.45000000000000007</v>
      </c>
      <c r="H65" s="11">
        <f t="shared" si="24"/>
        <v>0.46666666666666673</v>
      </c>
      <c r="I65" s="11">
        <f t="shared" si="24"/>
        <v>0.48333333333333339</v>
      </c>
      <c r="J65" s="11">
        <f t="shared" si="25"/>
        <v>0.5</v>
      </c>
      <c r="K65" s="11">
        <f t="shared" si="25"/>
        <v>0.51666666666666672</v>
      </c>
      <c r="L65" s="11">
        <f t="shared" si="25"/>
        <v>0.53333333333333333</v>
      </c>
      <c r="M65" s="11">
        <f t="shared" si="25"/>
        <v>0.55000000000000004</v>
      </c>
      <c r="N65" s="11">
        <f t="shared" si="25"/>
        <v>0.56666666666666676</v>
      </c>
      <c r="O65" s="11">
        <f t="shared" si="25"/>
        <v>0.58333333333333337</v>
      </c>
      <c r="P65" s="11">
        <f t="shared" si="25"/>
        <v>0.58333333333333337</v>
      </c>
      <c r="Q65" s="11">
        <f t="shared" si="25"/>
        <v>0.58333333333333337</v>
      </c>
      <c r="R65" s="11">
        <f t="shared" si="25"/>
        <v>0.58333333333333337</v>
      </c>
      <c r="S65" s="11">
        <f t="shared" si="25"/>
        <v>0.58333333333333337</v>
      </c>
      <c r="T65" s="11">
        <f t="shared" si="25"/>
        <v>0.58333333333333337</v>
      </c>
      <c r="U65" s="11">
        <f t="shared" si="25"/>
        <v>0.58333333333333337</v>
      </c>
      <c r="V65" s="11">
        <f t="shared" si="25"/>
        <v>0.83333333333333337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02B44-8005-F342-8791-8136A0F6D381}">
  <dimension ref="A1:P93"/>
  <sheetViews>
    <sheetView zoomScale="80" zoomScaleNormal="80" workbookViewId="0">
      <selection activeCell="P39" sqref="P39"/>
    </sheetView>
  </sheetViews>
  <sheetFormatPr defaultColWidth="11.5546875" defaultRowHeight="15"/>
  <sheetData>
    <row r="1" spans="1:1">
      <c r="A1" s="24"/>
    </row>
    <row r="19" spans="2:13">
      <c r="B19" t="s">
        <v>139</v>
      </c>
      <c r="J19" s="4" t="s">
        <v>159</v>
      </c>
      <c r="K19" s="25" t="s">
        <v>160</v>
      </c>
    </row>
    <row r="20" spans="2:13" ht="18">
      <c r="B20" t="s">
        <v>77</v>
      </c>
      <c r="C20" t="s">
        <v>141</v>
      </c>
      <c r="D20" t="s">
        <v>142</v>
      </c>
      <c r="E20" t="s">
        <v>143</v>
      </c>
      <c r="F20" t="s">
        <v>155</v>
      </c>
      <c r="G20" t="s">
        <v>156</v>
      </c>
      <c r="H20" t="s">
        <v>157</v>
      </c>
      <c r="I20" t="s">
        <v>158</v>
      </c>
      <c r="J20" t="s">
        <v>152</v>
      </c>
      <c r="K20" t="s">
        <v>153</v>
      </c>
      <c r="L20" t="s">
        <v>140</v>
      </c>
      <c r="M20" t="s">
        <v>13</v>
      </c>
    </row>
    <row r="21" spans="2:13">
      <c r="B21" t="s">
        <v>78</v>
      </c>
    </row>
    <row r="22" spans="2:13">
      <c r="B22" t="s">
        <v>79</v>
      </c>
    </row>
    <row r="23" spans="2:13">
      <c r="B23" t="s">
        <v>80</v>
      </c>
    </row>
    <row r="24" spans="2:13">
      <c r="B24" t="s">
        <v>81</v>
      </c>
    </row>
    <row r="25" spans="2:13">
      <c r="B25" t="s">
        <v>136</v>
      </c>
      <c r="C25" t="s">
        <v>147</v>
      </c>
      <c r="D25">
        <v>500</v>
      </c>
      <c r="E25">
        <v>100</v>
      </c>
      <c r="F25">
        <v>10</v>
      </c>
      <c r="G25">
        <v>15</v>
      </c>
      <c r="H25">
        <v>18.8</v>
      </c>
      <c r="I25">
        <v>48.7</v>
      </c>
      <c r="J25" s="4">
        <v>94</v>
      </c>
      <c r="K25" s="4">
        <v>304.89999999999998</v>
      </c>
      <c r="M25" t="s">
        <v>146</v>
      </c>
    </row>
    <row r="26" spans="2:13">
      <c r="B26" t="s">
        <v>136</v>
      </c>
      <c r="C26" t="s">
        <v>148</v>
      </c>
      <c r="D26">
        <v>18</v>
      </c>
      <c r="E26">
        <v>100</v>
      </c>
      <c r="F26">
        <v>10</v>
      </c>
      <c r="G26">
        <v>15</v>
      </c>
      <c r="H26">
        <v>18.8</v>
      </c>
      <c r="I26">
        <v>48.7</v>
      </c>
      <c r="J26" s="4">
        <v>3.4</v>
      </c>
      <c r="K26" s="4">
        <v>11</v>
      </c>
      <c r="M26" t="s">
        <v>146</v>
      </c>
    </row>
    <row r="27" spans="2:13">
      <c r="B27" t="s">
        <v>220</v>
      </c>
      <c r="D27">
        <v>93</v>
      </c>
      <c r="J27" s="4">
        <v>62</v>
      </c>
      <c r="K27" s="4">
        <v>333</v>
      </c>
      <c r="M27" t="s">
        <v>219</v>
      </c>
    </row>
    <row r="28" spans="2:13">
      <c r="B28" t="s">
        <v>221</v>
      </c>
      <c r="J28" s="4">
        <v>2</v>
      </c>
      <c r="K28" s="4">
        <v>3</v>
      </c>
      <c r="M28" t="s">
        <v>222</v>
      </c>
    </row>
    <row r="29" spans="2:13">
      <c r="B29" t="s">
        <v>137</v>
      </c>
      <c r="J29" s="4"/>
      <c r="M29" t="s">
        <v>217</v>
      </c>
    </row>
    <row r="30" spans="2:13">
      <c r="B30" t="s">
        <v>137</v>
      </c>
      <c r="J30" s="4">
        <v>60</v>
      </c>
      <c r="K30" s="4">
        <v>330</v>
      </c>
      <c r="M30" t="s">
        <v>219</v>
      </c>
    </row>
    <row r="31" spans="2:13">
      <c r="B31" t="s">
        <v>137</v>
      </c>
      <c r="M31" t="s">
        <v>218</v>
      </c>
    </row>
    <row r="32" spans="2:13">
      <c r="B32" t="s">
        <v>138</v>
      </c>
      <c r="C32" t="s">
        <v>150</v>
      </c>
      <c r="D32">
        <v>78</v>
      </c>
      <c r="J32" s="4">
        <v>750</v>
      </c>
      <c r="K32" s="4">
        <v>900</v>
      </c>
      <c r="M32" t="s">
        <v>149</v>
      </c>
    </row>
    <row r="33" spans="2:16">
      <c r="B33" t="s">
        <v>138</v>
      </c>
      <c r="C33" t="s">
        <v>151</v>
      </c>
      <c r="D33">
        <v>164</v>
      </c>
      <c r="J33" s="4">
        <v>100</v>
      </c>
      <c r="M33" t="s">
        <v>154</v>
      </c>
    </row>
    <row r="34" spans="2:16">
      <c r="B34" t="s">
        <v>144</v>
      </c>
      <c r="M34" t="s">
        <v>145</v>
      </c>
    </row>
    <row r="39" spans="2:16">
      <c r="B39" t="s">
        <v>139</v>
      </c>
      <c r="D39" t="s">
        <v>262</v>
      </c>
      <c r="F39" t="s">
        <v>746</v>
      </c>
      <c r="G39">
        <v>28</v>
      </c>
      <c r="H39" t="s">
        <v>747</v>
      </c>
      <c r="I39" s="64" t="s">
        <v>748</v>
      </c>
      <c r="P39" s="25" t="s">
        <v>760</v>
      </c>
    </row>
    <row r="40" spans="2:16">
      <c r="B40" t="s">
        <v>77</v>
      </c>
      <c r="C40" s="4" t="s">
        <v>235</v>
      </c>
      <c r="D40" s="4" t="s">
        <v>237</v>
      </c>
      <c r="E40" t="s">
        <v>242</v>
      </c>
      <c r="F40" t="s">
        <v>239</v>
      </c>
      <c r="G40" t="s">
        <v>242</v>
      </c>
      <c r="J40" t="s">
        <v>340</v>
      </c>
    </row>
    <row r="41" spans="2:16" ht="18">
      <c r="C41" s="4" t="s">
        <v>236</v>
      </c>
      <c r="D41" s="4" t="s">
        <v>238</v>
      </c>
      <c r="E41" t="s">
        <v>238</v>
      </c>
      <c r="F41" t="s">
        <v>241</v>
      </c>
      <c r="G41" t="s">
        <v>241</v>
      </c>
      <c r="I41" t="s">
        <v>301</v>
      </c>
    </row>
    <row r="42" spans="2:16">
      <c r="B42" t="s">
        <v>243</v>
      </c>
      <c r="C42" s="4">
        <v>807</v>
      </c>
      <c r="D42" s="4">
        <v>4035</v>
      </c>
      <c r="E42">
        <f t="shared" ref="E42:E60" si="0">D42/10</f>
        <v>403.5</v>
      </c>
      <c r="F42" s="11">
        <f>C42/$G$39</f>
        <v>28.821428571428573</v>
      </c>
      <c r="G42" s="11">
        <f t="shared" ref="G42:G60" si="1">F42/10</f>
        <v>2.8821428571428571</v>
      </c>
      <c r="H42" s="6">
        <f t="shared" ref="H42:H60" si="2">G42/E42</f>
        <v>7.1428571428571426E-3</v>
      </c>
      <c r="I42" t="s">
        <v>302</v>
      </c>
    </row>
    <row r="43" spans="2:16">
      <c r="B43" t="s">
        <v>244</v>
      </c>
      <c r="C43" s="4">
        <v>796</v>
      </c>
      <c r="D43" s="4">
        <v>3980</v>
      </c>
      <c r="E43">
        <f t="shared" si="0"/>
        <v>398</v>
      </c>
      <c r="F43" s="11">
        <f t="shared" ref="F43:F65" si="3">C43/$G$39</f>
        <v>28.428571428571427</v>
      </c>
      <c r="G43" s="11">
        <f t="shared" si="1"/>
        <v>2.8428571428571425</v>
      </c>
      <c r="H43" s="6">
        <f t="shared" si="2"/>
        <v>7.1428571428571418E-3</v>
      </c>
      <c r="I43" t="s">
        <v>291</v>
      </c>
    </row>
    <row r="44" spans="2:16">
      <c r="B44" t="s">
        <v>337</v>
      </c>
      <c r="C44" s="4">
        <v>568</v>
      </c>
      <c r="D44" s="4">
        <v>2840</v>
      </c>
      <c r="E44">
        <f t="shared" si="0"/>
        <v>284</v>
      </c>
      <c r="F44" s="11">
        <f t="shared" si="3"/>
        <v>20.285714285714285</v>
      </c>
      <c r="G44" s="11">
        <f t="shared" si="1"/>
        <v>2.0285714285714285</v>
      </c>
      <c r="H44" s="6">
        <f t="shared" si="2"/>
        <v>7.1428571428571426E-3</v>
      </c>
      <c r="I44" t="s">
        <v>293</v>
      </c>
    </row>
    <row r="45" spans="2:16">
      <c r="B45" t="s">
        <v>245</v>
      </c>
      <c r="C45" s="4">
        <v>538</v>
      </c>
      <c r="D45" s="4">
        <v>2690</v>
      </c>
      <c r="E45">
        <f t="shared" si="0"/>
        <v>269</v>
      </c>
      <c r="F45" s="11">
        <f t="shared" si="3"/>
        <v>19.214285714285715</v>
      </c>
      <c r="G45" s="11">
        <f t="shared" si="1"/>
        <v>1.9214285714285715</v>
      </c>
      <c r="H45" s="6">
        <f t="shared" si="2"/>
        <v>7.1428571428571435E-3</v>
      </c>
      <c r="I45" t="s">
        <v>292</v>
      </c>
    </row>
    <row r="46" spans="2:16">
      <c r="B46" t="s">
        <v>246</v>
      </c>
      <c r="C46" s="4">
        <v>532</v>
      </c>
      <c r="D46" s="4">
        <v>2660</v>
      </c>
      <c r="E46">
        <f t="shared" si="0"/>
        <v>266</v>
      </c>
      <c r="F46" s="11">
        <f t="shared" si="3"/>
        <v>19</v>
      </c>
      <c r="G46" s="11">
        <f t="shared" si="1"/>
        <v>1.9</v>
      </c>
      <c r="H46" s="6">
        <f t="shared" si="2"/>
        <v>7.1428571428571426E-3</v>
      </c>
      <c r="I46" t="s">
        <v>298</v>
      </c>
    </row>
    <row r="47" spans="2:16">
      <c r="B47" t="s">
        <v>247</v>
      </c>
      <c r="C47" s="4">
        <v>373</v>
      </c>
      <c r="D47" s="4">
        <v>1865</v>
      </c>
      <c r="E47">
        <f t="shared" si="0"/>
        <v>186.5</v>
      </c>
      <c r="F47" s="11">
        <f t="shared" si="3"/>
        <v>13.321428571428571</v>
      </c>
      <c r="G47" s="11">
        <f t="shared" si="1"/>
        <v>1.3321428571428571</v>
      </c>
      <c r="H47" s="6">
        <f t="shared" si="2"/>
        <v>7.1428571428571426E-3</v>
      </c>
      <c r="I47" t="s">
        <v>295</v>
      </c>
    </row>
    <row r="48" spans="2:16">
      <c r="B48" t="s">
        <v>248</v>
      </c>
      <c r="C48" s="4">
        <v>327</v>
      </c>
      <c r="D48" s="4">
        <v>1635</v>
      </c>
      <c r="E48">
        <f t="shared" si="0"/>
        <v>163.5</v>
      </c>
      <c r="F48" s="11">
        <f t="shared" si="3"/>
        <v>11.678571428571429</v>
      </c>
      <c r="G48" s="11">
        <f t="shared" si="1"/>
        <v>1.1678571428571429</v>
      </c>
      <c r="H48" s="6">
        <f t="shared" si="2"/>
        <v>7.1428571428571435E-3</v>
      </c>
      <c r="I48" t="s">
        <v>292</v>
      </c>
    </row>
    <row r="49" spans="2:12">
      <c r="B49" t="s">
        <v>249</v>
      </c>
      <c r="C49" s="4">
        <v>309</v>
      </c>
      <c r="D49" s="4">
        <v>1545</v>
      </c>
      <c r="E49">
        <f t="shared" si="0"/>
        <v>154.5</v>
      </c>
      <c r="F49" s="11">
        <f t="shared" si="3"/>
        <v>11.035714285714286</v>
      </c>
      <c r="G49" s="11">
        <f t="shared" si="1"/>
        <v>1.1035714285714286</v>
      </c>
      <c r="H49" s="6">
        <f t="shared" si="2"/>
        <v>7.1428571428571435E-3</v>
      </c>
      <c r="I49" t="s">
        <v>293</v>
      </c>
    </row>
    <row r="50" spans="2:12">
      <c r="B50" t="s">
        <v>250</v>
      </c>
      <c r="C50" s="4">
        <v>300</v>
      </c>
      <c r="D50" s="4">
        <v>1500</v>
      </c>
      <c r="E50">
        <f t="shared" si="0"/>
        <v>150</v>
      </c>
      <c r="F50" s="11">
        <f t="shared" si="3"/>
        <v>10.714285714285714</v>
      </c>
      <c r="G50" s="11">
        <f t="shared" si="1"/>
        <v>1.0714285714285714</v>
      </c>
      <c r="H50" s="6">
        <f t="shared" si="2"/>
        <v>7.1428571428571426E-3</v>
      </c>
      <c r="I50" t="s">
        <v>295</v>
      </c>
    </row>
    <row r="51" spans="2:12">
      <c r="B51" t="s">
        <v>251</v>
      </c>
      <c r="C51" s="4">
        <v>219</v>
      </c>
      <c r="D51" s="4">
        <v>1095</v>
      </c>
      <c r="E51">
        <f t="shared" si="0"/>
        <v>109.5</v>
      </c>
      <c r="F51" s="11">
        <f t="shared" si="3"/>
        <v>7.8214285714285712</v>
      </c>
      <c r="G51" s="11">
        <f t="shared" si="1"/>
        <v>0.78214285714285714</v>
      </c>
      <c r="H51" s="6">
        <f t="shared" si="2"/>
        <v>7.1428571428571426E-3</v>
      </c>
      <c r="I51" t="s">
        <v>297</v>
      </c>
    </row>
    <row r="52" spans="2:12">
      <c r="B52" t="s">
        <v>252</v>
      </c>
      <c r="C52" s="4">
        <v>216</v>
      </c>
      <c r="D52" s="4">
        <v>1080</v>
      </c>
      <c r="E52">
        <f t="shared" si="0"/>
        <v>108</v>
      </c>
      <c r="F52" s="11">
        <f t="shared" si="3"/>
        <v>7.7142857142857144</v>
      </c>
      <c r="G52" s="11">
        <f t="shared" si="1"/>
        <v>0.77142857142857146</v>
      </c>
      <c r="H52" s="6">
        <f t="shared" si="2"/>
        <v>7.1428571428571435E-3</v>
      </c>
      <c r="I52" t="s">
        <v>296</v>
      </c>
    </row>
    <row r="53" spans="2:12">
      <c r="B53" t="s">
        <v>253</v>
      </c>
      <c r="C53" s="4">
        <v>209</v>
      </c>
      <c r="D53" s="4">
        <v>1045</v>
      </c>
      <c r="E53">
        <f t="shared" si="0"/>
        <v>104.5</v>
      </c>
      <c r="F53" s="11">
        <f t="shared" si="3"/>
        <v>7.4642857142857144</v>
      </c>
      <c r="G53" s="11">
        <f t="shared" si="1"/>
        <v>0.74642857142857144</v>
      </c>
      <c r="H53" s="6">
        <f t="shared" si="2"/>
        <v>7.1428571428571426E-3</v>
      </c>
      <c r="I53" t="s">
        <v>293</v>
      </c>
    </row>
    <row r="54" spans="2:12">
      <c r="B54" t="s">
        <v>254</v>
      </c>
      <c r="C54" s="4">
        <v>200</v>
      </c>
      <c r="D54" s="4">
        <v>1000</v>
      </c>
      <c r="E54">
        <f t="shared" si="0"/>
        <v>100</v>
      </c>
      <c r="F54" s="11">
        <f t="shared" si="3"/>
        <v>7.1428571428571432</v>
      </c>
      <c r="G54" s="11">
        <f t="shared" si="1"/>
        <v>0.7142857142857143</v>
      </c>
      <c r="H54" s="6">
        <f t="shared" si="2"/>
        <v>7.1428571428571426E-3</v>
      </c>
      <c r="I54" t="s">
        <v>295</v>
      </c>
    </row>
    <row r="55" spans="2:12">
      <c r="B55" t="s">
        <v>255</v>
      </c>
      <c r="C55" s="4">
        <v>173</v>
      </c>
      <c r="D55" s="4">
        <v>865</v>
      </c>
      <c r="E55">
        <f t="shared" si="0"/>
        <v>86.5</v>
      </c>
      <c r="F55" s="11">
        <f t="shared" si="3"/>
        <v>6.1785714285714288</v>
      </c>
      <c r="G55" s="11">
        <f t="shared" si="1"/>
        <v>0.61785714285714288</v>
      </c>
      <c r="H55" s="6">
        <f t="shared" si="2"/>
        <v>7.1428571428571435E-3</v>
      </c>
      <c r="I55" t="s">
        <v>291</v>
      </c>
    </row>
    <row r="56" spans="2:12">
      <c r="B56" t="s">
        <v>151</v>
      </c>
      <c r="C56" s="4">
        <v>154</v>
      </c>
      <c r="D56" s="4">
        <v>770</v>
      </c>
      <c r="E56">
        <f t="shared" si="0"/>
        <v>77</v>
      </c>
      <c r="F56" s="11">
        <f t="shared" si="3"/>
        <v>5.5</v>
      </c>
      <c r="G56" s="11">
        <f t="shared" si="1"/>
        <v>0.55000000000000004</v>
      </c>
      <c r="H56" s="6">
        <f t="shared" si="2"/>
        <v>7.1428571428571435E-3</v>
      </c>
      <c r="I56" t="s">
        <v>290</v>
      </c>
    </row>
    <row r="57" spans="2:12">
      <c r="B57" t="s">
        <v>137</v>
      </c>
      <c r="C57" s="4">
        <v>105</v>
      </c>
      <c r="D57" s="4">
        <v>525</v>
      </c>
      <c r="E57">
        <f t="shared" si="0"/>
        <v>52.5</v>
      </c>
      <c r="F57" s="11">
        <f t="shared" si="3"/>
        <v>3.75</v>
      </c>
      <c r="G57" s="11">
        <f t="shared" si="1"/>
        <v>0.375</v>
      </c>
      <c r="H57" s="6">
        <f t="shared" si="2"/>
        <v>7.1428571428571426E-3</v>
      </c>
      <c r="I57" t="s">
        <v>294</v>
      </c>
    </row>
    <row r="58" spans="2:12">
      <c r="B58" t="s">
        <v>256</v>
      </c>
      <c r="C58" s="4">
        <v>99</v>
      </c>
      <c r="D58" s="4">
        <v>495</v>
      </c>
      <c r="E58">
        <f t="shared" si="0"/>
        <v>49.5</v>
      </c>
      <c r="F58" s="11">
        <f t="shared" si="3"/>
        <v>3.5357142857142856</v>
      </c>
      <c r="G58" s="11">
        <f t="shared" si="1"/>
        <v>0.35357142857142854</v>
      </c>
      <c r="H58" s="6">
        <f t="shared" si="2"/>
        <v>7.1428571428571418E-3</v>
      </c>
      <c r="I58" t="s">
        <v>294</v>
      </c>
      <c r="K58">
        <f>(1523+3947)/2</f>
        <v>2735</v>
      </c>
      <c r="L58">
        <f>K58/405</f>
        <v>6.7530864197530862</v>
      </c>
    </row>
    <row r="59" spans="2:12">
      <c r="B59" t="s">
        <v>257</v>
      </c>
      <c r="C59" s="4">
        <v>81</v>
      </c>
      <c r="D59" s="4">
        <v>405</v>
      </c>
      <c r="E59">
        <f t="shared" si="0"/>
        <v>40.5</v>
      </c>
      <c r="F59" s="11">
        <f t="shared" si="3"/>
        <v>2.8928571428571428</v>
      </c>
      <c r="G59" s="11">
        <f t="shared" si="1"/>
        <v>0.28928571428571426</v>
      </c>
      <c r="H59" s="6">
        <f t="shared" si="2"/>
        <v>7.1428571428571418E-3</v>
      </c>
      <c r="I59" t="s">
        <v>290</v>
      </c>
    </row>
    <row r="60" spans="2:12">
      <c r="B60" t="s">
        <v>338</v>
      </c>
      <c r="C60" s="4">
        <v>38</v>
      </c>
      <c r="D60" s="51">
        <f>(714+1852)/2/6.75</f>
        <v>190.07407407407408</v>
      </c>
      <c r="E60" s="11">
        <f t="shared" si="0"/>
        <v>19.007407407407406</v>
      </c>
      <c r="F60" s="11">
        <f t="shared" si="3"/>
        <v>1.3571428571428572</v>
      </c>
      <c r="G60" s="11">
        <f t="shared" si="1"/>
        <v>0.13571428571428573</v>
      </c>
      <c r="H60" s="6">
        <f t="shared" si="2"/>
        <v>7.1400734884756725E-3</v>
      </c>
      <c r="I60" t="s">
        <v>290</v>
      </c>
      <c r="J60" t="s">
        <v>339</v>
      </c>
    </row>
    <row r="61" spans="2:12">
      <c r="B61" t="s">
        <v>98</v>
      </c>
      <c r="C61" s="4">
        <v>1305</v>
      </c>
      <c r="D61" s="4">
        <v>6525</v>
      </c>
      <c r="E61">
        <f>D61/10</f>
        <v>652.5</v>
      </c>
      <c r="F61" s="11">
        <f t="shared" si="3"/>
        <v>46.607142857142854</v>
      </c>
      <c r="G61" s="11">
        <f>F61/10</f>
        <v>4.6607142857142856</v>
      </c>
      <c r="H61" s="6">
        <f t="shared" ref="H61:H66" si="4">G61/E61</f>
        <v>7.1428571428571426E-3</v>
      </c>
    </row>
    <row r="62" spans="2:12">
      <c r="B62" t="s">
        <v>258</v>
      </c>
      <c r="C62" s="4">
        <v>5.25</v>
      </c>
      <c r="D62" s="4">
        <v>79</v>
      </c>
      <c r="E62">
        <f>D62/10</f>
        <v>7.9</v>
      </c>
      <c r="F62" s="11">
        <f t="shared" si="3"/>
        <v>0.1875</v>
      </c>
      <c r="G62" s="11">
        <f>F62/10</f>
        <v>1.8749999999999999E-2</v>
      </c>
      <c r="H62" s="6">
        <f t="shared" si="4"/>
        <v>2.373417721518987E-3</v>
      </c>
      <c r="I62" t="s">
        <v>297</v>
      </c>
    </row>
    <row r="63" spans="2:12">
      <c r="B63" t="s">
        <v>259</v>
      </c>
      <c r="C63" s="4">
        <v>2.87</v>
      </c>
      <c r="D63" s="4">
        <v>43</v>
      </c>
      <c r="E63">
        <f>D63/10</f>
        <v>4.3</v>
      </c>
      <c r="F63" s="11">
        <f t="shared" si="3"/>
        <v>0.10250000000000001</v>
      </c>
      <c r="G63" s="11">
        <f>F63/10</f>
        <v>1.025E-2</v>
      </c>
      <c r="H63" s="6">
        <f t="shared" si="4"/>
        <v>2.3837209302325583E-3</v>
      </c>
      <c r="I63" t="s">
        <v>292</v>
      </c>
    </row>
    <row r="64" spans="2:12">
      <c r="B64" t="s">
        <v>260</v>
      </c>
      <c r="C64" s="4">
        <v>1.65</v>
      </c>
      <c r="D64" s="4">
        <v>25</v>
      </c>
      <c r="E64">
        <f>D64/10</f>
        <v>2.5</v>
      </c>
      <c r="F64" s="11">
        <f t="shared" si="3"/>
        <v>5.8928571428571427E-2</v>
      </c>
      <c r="G64" s="11">
        <f>F64/10</f>
        <v>5.8928571428571424E-3</v>
      </c>
      <c r="H64" s="6">
        <f t="shared" si="4"/>
        <v>2.3571428571428571E-3</v>
      </c>
      <c r="I64" t="s">
        <v>292</v>
      </c>
    </row>
    <row r="65" spans="2:10">
      <c r="B65" t="s">
        <v>261</v>
      </c>
      <c r="C65" s="4">
        <v>1.1399999999999999</v>
      </c>
      <c r="D65" s="4">
        <v>17</v>
      </c>
      <c r="E65">
        <f>D65/10</f>
        <v>1.7</v>
      </c>
      <c r="F65" s="11">
        <f t="shared" si="3"/>
        <v>4.071428571428571E-2</v>
      </c>
      <c r="G65" s="11">
        <f>F65/10</f>
        <v>4.0714285714285713E-3</v>
      </c>
      <c r="H65" s="6">
        <f t="shared" si="4"/>
        <v>2.3949579831932773E-3</v>
      </c>
      <c r="I65" t="s">
        <v>290</v>
      </c>
    </row>
    <row r="66" spans="2:10">
      <c r="B66" t="s">
        <v>240</v>
      </c>
      <c r="C66" s="7">
        <f>SUM(C42:C65)</f>
        <v>7359.91</v>
      </c>
      <c r="D66" s="7">
        <f>SUM(D42:D65)</f>
        <v>36909.074074074073</v>
      </c>
      <c r="E66" s="11">
        <f>SUM(E42:E65)</f>
        <v>3690.9074074074074</v>
      </c>
      <c r="F66" s="11">
        <f>SUM(F42:F65)</f>
        <v>262.85392857142858</v>
      </c>
      <c r="G66" s="11">
        <f>SUM(G42:G65)</f>
        <v>26.28539285714286</v>
      </c>
      <c r="H66" s="6">
        <f t="shared" si="4"/>
        <v>7.1216614116056693E-3</v>
      </c>
    </row>
    <row r="67" spans="2:10">
      <c r="B67" t="s">
        <v>221</v>
      </c>
      <c r="D67" s="4">
        <v>2.5</v>
      </c>
      <c r="J67" t="s">
        <v>636</v>
      </c>
    </row>
    <row r="80" spans="2:10">
      <c r="B80" t="s">
        <v>289</v>
      </c>
      <c r="C80" t="s">
        <v>300</v>
      </c>
      <c r="D80" t="s">
        <v>239</v>
      </c>
      <c r="F80" t="s">
        <v>341</v>
      </c>
    </row>
    <row r="81" spans="2:8">
      <c r="B81" t="s">
        <v>299</v>
      </c>
      <c r="C81" t="s">
        <v>303</v>
      </c>
      <c r="D81" t="s">
        <v>304</v>
      </c>
    </row>
    <row r="82" spans="2:8">
      <c r="B82" t="s">
        <v>293</v>
      </c>
      <c r="C82" s="8">
        <f t="shared" ref="C82:C90" si="5">SUMIF($I$42:$I$66,$B82,$E$42:$E$66)</f>
        <v>543</v>
      </c>
      <c r="D82" s="8">
        <f t="shared" ref="D82:D90" si="6">SUMIF($I$42:$I$66,$B82,$G$42:$G$66)</f>
        <v>3.8785714285714286</v>
      </c>
      <c r="E82" s="28"/>
      <c r="F82" t="s">
        <v>315</v>
      </c>
      <c r="G82" s="8">
        <f t="shared" ref="G82:G90" si="7">C82</f>
        <v>543</v>
      </c>
      <c r="H82" s="8">
        <f t="shared" ref="H82:H90" si="8">D82</f>
        <v>3.8785714285714286</v>
      </c>
    </row>
    <row r="83" spans="2:8">
      <c r="B83" t="s">
        <v>290</v>
      </c>
      <c r="C83" s="8">
        <f t="shared" si="5"/>
        <v>138.2074074074074</v>
      </c>
      <c r="D83" s="8">
        <f t="shared" si="6"/>
        <v>0.9790714285714287</v>
      </c>
      <c r="E83" s="28"/>
      <c r="F83" t="s">
        <v>290</v>
      </c>
      <c r="G83" s="8">
        <f t="shared" si="7"/>
        <v>138.2074074074074</v>
      </c>
      <c r="H83" s="8">
        <f t="shared" si="8"/>
        <v>0.9790714285714287</v>
      </c>
    </row>
    <row r="84" spans="2:8">
      <c r="B84" t="s">
        <v>292</v>
      </c>
      <c r="C84" s="8">
        <f t="shared" si="5"/>
        <v>439.3</v>
      </c>
      <c r="D84" s="8">
        <f t="shared" si="6"/>
        <v>3.1054285714285714</v>
      </c>
      <c r="E84" s="28"/>
      <c r="F84" t="s">
        <v>314</v>
      </c>
      <c r="G84" s="8">
        <f t="shared" si="7"/>
        <v>439.3</v>
      </c>
      <c r="H84" s="8">
        <f t="shared" si="8"/>
        <v>3.1054285714285714</v>
      </c>
    </row>
    <row r="85" spans="2:8">
      <c r="B85" t="s">
        <v>295</v>
      </c>
      <c r="C85" s="8">
        <f t="shared" si="5"/>
        <v>436.5</v>
      </c>
      <c r="D85" s="8">
        <f t="shared" si="6"/>
        <v>3.1178571428571429</v>
      </c>
      <c r="E85" s="28"/>
      <c r="F85" t="s">
        <v>295</v>
      </c>
      <c r="G85" s="8">
        <f t="shared" si="7"/>
        <v>436.5</v>
      </c>
      <c r="H85" s="8">
        <f t="shared" si="8"/>
        <v>3.1178571428571429</v>
      </c>
    </row>
    <row r="86" spans="2:8">
      <c r="B86" t="s">
        <v>298</v>
      </c>
      <c r="C86" s="8">
        <f t="shared" si="5"/>
        <v>266</v>
      </c>
      <c r="D86" s="8">
        <f t="shared" si="6"/>
        <v>1.9</v>
      </c>
      <c r="E86" s="28"/>
      <c r="F86" t="s">
        <v>313</v>
      </c>
      <c r="G86" s="8">
        <f t="shared" si="7"/>
        <v>266</v>
      </c>
      <c r="H86" s="8">
        <f t="shared" si="8"/>
        <v>1.9</v>
      </c>
    </row>
    <row r="87" spans="2:8">
      <c r="B87" t="s">
        <v>296</v>
      </c>
      <c r="C87" s="8">
        <f t="shared" si="5"/>
        <v>511.5</v>
      </c>
      <c r="D87" s="8">
        <f t="shared" si="6"/>
        <v>3.6535714285714285</v>
      </c>
      <c r="E87" s="28"/>
      <c r="F87" t="s">
        <v>312</v>
      </c>
      <c r="G87" s="8">
        <f t="shared" si="7"/>
        <v>511.5</v>
      </c>
      <c r="H87" s="8">
        <f t="shared" si="8"/>
        <v>3.6535714285714285</v>
      </c>
    </row>
    <row r="88" spans="2:8">
      <c r="B88" t="s">
        <v>297</v>
      </c>
      <c r="C88" s="8">
        <f t="shared" si="5"/>
        <v>117.4</v>
      </c>
      <c r="D88" s="8">
        <f t="shared" si="6"/>
        <v>0.80089285714285718</v>
      </c>
      <c r="E88" s="28"/>
      <c r="F88" t="s">
        <v>311</v>
      </c>
      <c r="G88" s="8">
        <f t="shared" si="7"/>
        <v>117.4</v>
      </c>
      <c r="H88" s="8">
        <f t="shared" si="8"/>
        <v>0.80089285714285718</v>
      </c>
    </row>
    <row r="89" spans="2:8">
      <c r="B89" t="s">
        <v>291</v>
      </c>
      <c r="C89" s="8">
        <f t="shared" si="5"/>
        <v>484.5</v>
      </c>
      <c r="D89" s="8">
        <f t="shared" si="6"/>
        <v>3.4607142857142854</v>
      </c>
      <c r="E89" s="28"/>
      <c r="F89" t="s">
        <v>291</v>
      </c>
      <c r="G89" s="8">
        <f t="shared" si="7"/>
        <v>484.5</v>
      </c>
      <c r="H89" s="8">
        <f t="shared" si="8"/>
        <v>3.4607142857142854</v>
      </c>
    </row>
    <row r="90" spans="2:8">
      <c r="B90" t="s">
        <v>294</v>
      </c>
      <c r="C90" s="8">
        <f t="shared" si="5"/>
        <v>102</v>
      </c>
      <c r="D90" s="8">
        <f t="shared" si="6"/>
        <v>0.72857142857142854</v>
      </c>
      <c r="E90" s="28"/>
      <c r="F90" t="s">
        <v>294</v>
      </c>
      <c r="G90" s="8">
        <f t="shared" si="7"/>
        <v>102</v>
      </c>
      <c r="H90" s="8">
        <f t="shared" si="8"/>
        <v>0.72857142857142854</v>
      </c>
    </row>
    <row r="91" spans="2:8">
      <c r="B91" s="4" t="s">
        <v>240</v>
      </c>
      <c r="C91" s="10">
        <f>SUM(C82:C90)</f>
        <v>3038.4074074074074</v>
      </c>
      <c r="D91" s="10">
        <f>SUM(D82:D90)</f>
        <v>21.624678571428571</v>
      </c>
      <c r="E91" s="28"/>
      <c r="F91" s="4" t="s">
        <v>240</v>
      </c>
      <c r="G91" s="10">
        <f>SUM(G82:G90)</f>
        <v>3038.4074074074074</v>
      </c>
      <c r="H91" s="10">
        <f>SUM(H82:H90)</f>
        <v>21.624678571428571</v>
      </c>
    </row>
    <row r="93" spans="2:8">
      <c r="G93">
        <f>600*H66</f>
        <v>4.2729968469634017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D300-7D22-0248-935F-B7182588117D}">
  <dimension ref="B2:BS120"/>
  <sheetViews>
    <sheetView topLeftCell="A104" zoomScale="80" zoomScaleNormal="80" workbookViewId="0">
      <selection activeCell="T138" sqref="T138"/>
    </sheetView>
  </sheetViews>
  <sheetFormatPr defaultColWidth="11.5546875" defaultRowHeight="15"/>
  <sheetData>
    <row r="2" spans="2:71">
      <c r="C2" t="s">
        <v>316</v>
      </c>
    </row>
    <row r="3" spans="2:71">
      <c r="C3" s="15"/>
      <c r="D3" t="s">
        <v>305</v>
      </c>
      <c r="T3" s="15"/>
      <c r="U3" t="s">
        <v>305</v>
      </c>
      <c r="AK3" s="15"/>
      <c r="AL3" t="s">
        <v>305</v>
      </c>
      <c r="BC3" t="s">
        <v>305</v>
      </c>
    </row>
    <row r="4" spans="2:71">
      <c r="C4" s="15" t="s">
        <v>306</v>
      </c>
      <c r="D4" t="s">
        <v>318</v>
      </c>
      <c r="T4" s="15"/>
      <c r="U4" t="s">
        <v>319</v>
      </c>
      <c r="AK4" s="15"/>
      <c r="AL4" t="s">
        <v>320</v>
      </c>
      <c r="BC4" t="s">
        <v>321</v>
      </c>
    </row>
    <row r="5" spans="2:71">
      <c r="C5" s="15" t="s">
        <v>307</v>
      </c>
      <c r="D5" t="s">
        <v>308</v>
      </c>
      <c r="T5" s="15"/>
      <c r="U5" t="s">
        <v>308</v>
      </c>
      <c r="AK5" s="15"/>
      <c r="AL5" t="s">
        <v>308</v>
      </c>
      <c r="BC5" t="s">
        <v>308</v>
      </c>
    </row>
    <row r="6" spans="2:71">
      <c r="B6" t="s">
        <v>309</v>
      </c>
      <c r="C6" s="15" t="s">
        <v>310</v>
      </c>
      <c r="D6">
        <v>2020</v>
      </c>
      <c r="E6">
        <v>2025</v>
      </c>
      <c r="F6">
        <v>2030</v>
      </c>
      <c r="G6">
        <v>2035</v>
      </c>
      <c r="H6">
        <v>2040</v>
      </c>
      <c r="I6">
        <v>2045</v>
      </c>
      <c r="J6">
        <v>2050</v>
      </c>
      <c r="K6">
        <v>2055</v>
      </c>
      <c r="L6">
        <v>2060</v>
      </c>
      <c r="M6">
        <v>2065</v>
      </c>
      <c r="N6">
        <v>2070</v>
      </c>
      <c r="O6">
        <v>2075</v>
      </c>
      <c r="P6">
        <v>2080</v>
      </c>
      <c r="Q6">
        <v>2085</v>
      </c>
      <c r="R6">
        <v>2090</v>
      </c>
      <c r="S6">
        <v>2095</v>
      </c>
      <c r="T6" s="15">
        <v>2100</v>
      </c>
      <c r="U6">
        <v>2020</v>
      </c>
      <c r="V6">
        <v>2025</v>
      </c>
      <c r="W6">
        <v>2030</v>
      </c>
      <c r="X6">
        <v>2035</v>
      </c>
      <c r="Y6">
        <v>2040</v>
      </c>
      <c r="Z6">
        <v>2045</v>
      </c>
      <c r="AA6">
        <v>2050</v>
      </c>
      <c r="AB6">
        <v>2055</v>
      </c>
      <c r="AC6">
        <v>2060</v>
      </c>
      <c r="AD6">
        <v>2065</v>
      </c>
      <c r="AE6">
        <v>2070</v>
      </c>
      <c r="AF6">
        <v>2075</v>
      </c>
      <c r="AG6">
        <v>2080</v>
      </c>
      <c r="AH6">
        <v>2085</v>
      </c>
      <c r="AI6">
        <v>2090</v>
      </c>
      <c r="AJ6">
        <v>2095</v>
      </c>
      <c r="AK6" s="15">
        <v>2100</v>
      </c>
      <c r="AL6">
        <v>2020</v>
      </c>
      <c r="AM6">
        <v>2025</v>
      </c>
      <c r="AN6">
        <v>2030</v>
      </c>
      <c r="AO6">
        <v>2035</v>
      </c>
      <c r="AP6">
        <v>2040</v>
      </c>
      <c r="AQ6">
        <v>2045</v>
      </c>
      <c r="AR6">
        <v>2050</v>
      </c>
      <c r="AS6">
        <v>2055</v>
      </c>
      <c r="AT6">
        <v>2060</v>
      </c>
      <c r="AU6">
        <v>2065</v>
      </c>
      <c r="AV6">
        <v>2070</v>
      </c>
      <c r="AW6">
        <v>2075</v>
      </c>
      <c r="AX6">
        <v>2080</v>
      </c>
      <c r="AY6">
        <v>2085</v>
      </c>
      <c r="AZ6">
        <v>2090</v>
      </c>
      <c r="BA6">
        <v>2095</v>
      </c>
      <c r="BB6">
        <v>2100</v>
      </c>
      <c r="BC6">
        <v>2020</v>
      </c>
      <c r="BD6">
        <v>2025</v>
      </c>
      <c r="BE6">
        <v>2030</v>
      </c>
      <c r="BF6">
        <v>2035</v>
      </c>
      <c r="BG6">
        <v>2040</v>
      </c>
      <c r="BH6">
        <v>2045</v>
      </c>
      <c r="BI6">
        <v>2050</v>
      </c>
      <c r="BJ6">
        <v>2055</v>
      </c>
      <c r="BK6">
        <v>2060</v>
      </c>
      <c r="BL6">
        <v>2065</v>
      </c>
      <c r="BM6">
        <v>2070</v>
      </c>
      <c r="BN6">
        <v>2075</v>
      </c>
      <c r="BO6">
        <v>2080</v>
      </c>
      <c r="BP6">
        <v>2085</v>
      </c>
      <c r="BQ6">
        <v>2090</v>
      </c>
      <c r="BR6">
        <v>2095</v>
      </c>
      <c r="BS6">
        <v>2100</v>
      </c>
    </row>
    <row r="7" spans="2:71">
      <c r="B7">
        <v>1</v>
      </c>
      <c r="C7" s="15" t="s">
        <v>294</v>
      </c>
      <c r="D7">
        <v>381.97672169039811</v>
      </c>
      <c r="E7">
        <v>350.80602327223932</v>
      </c>
      <c r="F7">
        <v>318.86997433108877</v>
      </c>
      <c r="G7">
        <v>287.93462157389376</v>
      </c>
      <c r="H7">
        <v>258.47202008980963</v>
      </c>
      <c r="I7">
        <v>231.16034190069018</v>
      </c>
      <c r="J7">
        <v>206.46577818076878</v>
      </c>
      <c r="K7">
        <v>191.74255554277516</v>
      </c>
      <c r="L7">
        <v>179.58999192223212</v>
      </c>
      <c r="M7">
        <v>169.7368659736843</v>
      </c>
      <c r="N7">
        <v>161.86036812741136</v>
      </c>
      <c r="O7">
        <v>155.57851088078155</v>
      </c>
      <c r="P7">
        <v>150.54205727408836</v>
      </c>
      <c r="Q7">
        <v>146.46287847890935</v>
      </c>
      <c r="R7">
        <v>143.10838845190452</v>
      </c>
      <c r="S7">
        <v>140.2702029423489</v>
      </c>
      <c r="T7" s="15">
        <v>137.77750239101789</v>
      </c>
      <c r="U7">
        <v>422.3186134603381</v>
      </c>
      <c r="V7">
        <v>393.32905776912582</v>
      </c>
      <c r="W7">
        <v>357.85406100897001</v>
      </c>
      <c r="X7">
        <v>330.67983689586396</v>
      </c>
      <c r="Y7">
        <v>316.59590958117627</v>
      </c>
      <c r="Z7">
        <v>308.06311483850521</v>
      </c>
      <c r="AA7">
        <v>297.17504477423063</v>
      </c>
      <c r="AB7">
        <v>285.35749292815291</v>
      </c>
      <c r="AC7">
        <v>277.35875783173145</v>
      </c>
      <c r="AD7">
        <v>272.94390132244439</v>
      </c>
      <c r="AE7">
        <v>269.39272433713944</v>
      </c>
      <c r="AF7">
        <v>266.0136760356678</v>
      </c>
      <c r="AG7">
        <v>263.33903638688082</v>
      </c>
      <c r="AH7">
        <v>261.38652739924066</v>
      </c>
      <c r="AI7">
        <v>259.70058487814703</v>
      </c>
      <c r="AJ7">
        <v>257.84203909655253</v>
      </c>
      <c r="AK7" s="15">
        <v>255.60224090881809</v>
      </c>
      <c r="AL7">
        <v>7.6373754035086208</v>
      </c>
      <c r="AM7">
        <v>8.898392995116744</v>
      </c>
      <c r="AN7">
        <v>10.137234627880328</v>
      </c>
      <c r="AO7">
        <v>11.329964077025863</v>
      </c>
      <c r="AP7">
        <v>12.440714729794744</v>
      </c>
      <c r="AQ7">
        <v>13.442521345450563</v>
      </c>
      <c r="AR7">
        <v>14.312899169473514</v>
      </c>
      <c r="AS7">
        <v>14.711107339908313</v>
      </c>
      <c r="AT7">
        <v>14.988207909343744</v>
      </c>
      <c r="AU7">
        <v>15.166661575449211</v>
      </c>
      <c r="AV7">
        <v>15.275037760242123</v>
      </c>
      <c r="AW7">
        <v>15.333731992723223</v>
      </c>
      <c r="AX7">
        <v>15.356896529500686</v>
      </c>
      <c r="AY7">
        <v>15.354041022659954</v>
      </c>
      <c r="AZ7">
        <v>15.3305540100132</v>
      </c>
      <c r="BA7">
        <v>15.287085411419353</v>
      </c>
      <c r="BB7">
        <v>15.222659134643234</v>
      </c>
      <c r="BC7">
        <v>25.852552168466136</v>
      </c>
      <c r="BD7">
        <v>26.050454701568754</v>
      </c>
      <c r="BE7">
        <v>26.254520227264628</v>
      </c>
      <c r="BF7">
        <v>26.47859296348047</v>
      </c>
      <c r="BG7">
        <v>26.673880929336228</v>
      </c>
      <c r="BH7">
        <v>26.886491005592678</v>
      </c>
      <c r="BI7">
        <v>27.098730905077957</v>
      </c>
      <c r="BJ7">
        <v>26.968280891101557</v>
      </c>
      <c r="BK7">
        <v>26.805502350481049</v>
      </c>
      <c r="BL7">
        <v>26.638998108745639</v>
      </c>
      <c r="BM7">
        <v>26.491850168500608</v>
      </c>
      <c r="BN7">
        <v>26.371118229293121</v>
      </c>
      <c r="BO7">
        <v>26.27508996708406</v>
      </c>
      <c r="BP7">
        <v>26.20371184995917</v>
      </c>
      <c r="BQ7">
        <v>26.163317444755915</v>
      </c>
      <c r="BR7">
        <v>26.156135736322266</v>
      </c>
      <c r="BS7">
        <v>26.165876334125844</v>
      </c>
    </row>
    <row r="8" spans="2:71">
      <c r="B8">
        <v>2</v>
      </c>
      <c r="C8" s="15" t="s">
        <v>291</v>
      </c>
      <c r="D8">
        <v>156.98967870375958</v>
      </c>
      <c r="E8">
        <v>152.61632493514711</v>
      </c>
      <c r="F8">
        <v>145.02989926293949</v>
      </c>
      <c r="G8">
        <v>135.26726002602902</v>
      </c>
      <c r="H8">
        <v>123.78703234385928</v>
      </c>
      <c r="I8">
        <v>111.04904257785046</v>
      </c>
      <c r="J8">
        <v>98.209803157663231</v>
      </c>
      <c r="K8">
        <v>88.251828807760432</v>
      </c>
      <c r="L8">
        <v>80.431947463373092</v>
      </c>
      <c r="M8">
        <v>74.694565149379585</v>
      </c>
      <c r="N8">
        <v>70.613741051701723</v>
      </c>
      <c r="O8">
        <v>67.762328583610383</v>
      </c>
      <c r="P8">
        <v>65.799406793611695</v>
      </c>
      <c r="Q8">
        <v>64.452429824897408</v>
      </c>
      <c r="R8">
        <v>63.486434885215168</v>
      </c>
      <c r="S8">
        <v>62.689732014891625</v>
      </c>
      <c r="T8" s="15">
        <v>61.924955041544813</v>
      </c>
      <c r="U8">
        <v>173.61576293414396</v>
      </c>
      <c r="V8">
        <v>175.27045522851151</v>
      </c>
      <c r="W8">
        <v>158.58592718392612</v>
      </c>
      <c r="X8">
        <v>136.96893290137521</v>
      </c>
      <c r="Y8">
        <v>122.92943340911334</v>
      </c>
      <c r="Z8">
        <v>116.08950544680926</v>
      </c>
      <c r="AA8">
        <v>109.53100733110094</v>
      </c>
      <c r="AB8">
        <v>103.11521211019492</v>
      </c>
      <c r="AC8">
        <v>100.19928011656556</v>
      </c>
      <c r="AD8">
        <v>99.347406465092291</v>
      </c>
      <c r="AE8">
        <v>98.102422003236626</v>
      </c>
      <c r="AF8">
        <v>96.871625815098952</v>
      </c>
      <c r="AG8">
        <v>96.587485059870218</v>
      </c>
      <c r="AH8">
        <v>97.063915209139438</v>
      </c>
      <c r="AI8">
        <v>97.632096017517483</v>
      </c>
      <c r="AJ8">
        <v>97.810742115648424</v>
      </c>
      <c r="AK8" s="15">
        <v>97.460049691167271</v>
      </c>
      <c r="AL8">
        <v>8.3322174804373184</v>
      </c>
      <c r="AM8">
        <v>7.7734778688844797</v>
      </c>
      <c r="AN8">
        <v>7.1785677279632027</v>
      </c>
      <c r="AO8">
        <v>6.5742608545871679</v>
      </c>
      <c r="AP8">
        <v>5.9760130585883484</v>
      </c>
      <c r="AQ8">
        <v>5.3784836888212801</v>
      </c>
      <c r="AR8">
        <v>4.7628471204698899</v>
      </c>
      <c r="AS8">
        <v>5.0694536867261597</v>
      </c>
      <c r="AT8">
        <v>5.3267364001200788</v>
      </c>
      <c r="AU8">
        <v>5.5339623797582425</v>
      </c>
      <c r="AV8">
        <v>5.6979324374609348</v>
      </c>
      <c r="AW8">
        <v>5.831191008000105</v>
      </c>
      <c r="AX8">
        <v>5.9451937625822273</v>
      </c>
      <c r="AY8">
        <v>6.0454414305146082</v>
      </c>
      <c r="AZ8">
        <v>6.1304150073683035</v>
      </c>
      <c r="BA8">
        <v>6.1933483314209763</v>
      </c>
      <c r="BB8">
        <v>6.2301054283645989</v>
      </c>
      <c r="BC8">
        <v>5.3906842270706257</v>
      </c>
      <c r="BD8">
        <v>5.419208023360345</v>
      </c>
      <c r="BE8">
        <v>5.4525764665083898</v>
      </c>
      <c r="BF8">
        <v>5.5754415546607738</v>
      </c>
      <c r="BG8">
        <v>5.541917845426287</v>
      </c>
      <c r="BH8">
        <v>5.6016349623833106</v>
      </c>
      <c r="BI8">
        <v>5.6712204383635294</v>
      </c>
      <c r="BJ8">
        <v>5.6094892119590973</v>
      </c>
      <c r="BK8">
        <v>5.5404305759465196</v>
      </c>
      <c r="BL8">
        <v>5.465970925608544</v>
      </c>
      <c r="BM8">
        <v>5.3956998381266867</v>
      </c>
      <c r="BN8">
        <v>5.3413306230900437</v>
      </c>
      <c r="BO8">
        <v>5.3083616638146625</v>
      </c>
      <c r="BP8">
        <v>5.2936344846715455</v>
      </c>
      <c r="BQ8">
        <v>5.2884067177303757</v>
      </c>
      <c r="BR8">
        <v>5.2810820002353767</v>
      </c>
      <c r="BS8">
        <v>5.2650383666599234</v>
      </c>
    </row>
    <row r="9" spans="2:71">
      <c r="B9">
        <v>3</v>
      </c>
      <c r="C9" s="15" t="s">
        <v>311</v>
      </c>
      <c r="D9">
        <v>444.55587807785315</v>
      </c>
      <c r="E9">
        <v>460.60900332200788</v>
      </c>
      <c r="F9">
        <v>458.88457848226534</v>
      </c>
      <c r="G9">
        <v>438.47231432956403</v>
      </c>
      <c r="H9">
        <v>403.18520387714995</v>
      </c>
      <c r="I9">
        <v>357.36921990748971</v>
      </c>
      <c r="J9">
        <v>305.29210752098777</v>
      </c>
      <c r="K9">
        <v>286.31421547095283</v>
      </c>
      <c r="L9">
        <v>266.99005465221848</v>
      </c>
      <c r="M9">
        <v>248.20589782610338</v>
      </c>
      <c r="N9">
        <v>231.16627581286016</v>
      </c>
      <c r="O9">
        <v>217.07713929336765</v>
      </c>
      <c r="P9">
        <v>206.42783075242909</v>
      </c>
      <c r="Q9">
        <v>198.86498845904896</v>
      </c>
      <c r="R9">
        <v>193.5846116335189</v>
      </c>
      <c r="S9">
        <v>189.72064193115526</v>
      </c>
      <c r="T9" s="15">
        <v>186.5990645696219</v>
      </c>
      <c r="U9">
        <v>172.3344813267363</v>
      </c>
      <c r="V9">
        <v>240.64930707070852</v>
      </c>
      <c r="W9">
        <v>326.4306198406349</v>
      </c>
      <c r="X9">
        <v>410.57472293098039</v>
      </c>
      <c r="Y9">
        <v>460.78499685745908</v>
      </c>
      <c r="Z9">
        <v>451.439104792411</v>
      </c>
      <c r="AA9">
        <v>394.40952487782891</v>
      </c>
      <c r="AB9">
        <v>336.9682437812661</v>
      </c>
      <c r="AC9">
        <v>317.80367258785856</v>
      </c>
      <c r="AD9">
        <v>331.35926044913714</v>
      </c>
      <c r="AE9">
        <v>343.61166083775117</v>
      </c>
      <c r="AF9">
        <v>337.97421508072233</v>
      </c>
      <c r="AG9">
        <v>329.16614515906912</v>
      </c>
      <c r="AH9">
        <v>329.43817431263346</v>
      </c>
      <c r="AI9">
        <v>333.79198510642215</v>
      </c>
      <c r="AJ9">
        <v>337.69357234894295</v>
      </c>
      <c r="AK9" s="15">
        <v>340.89657896800179</v>
      </c>
      <c r="AL9">
        <v>5.7277645120305714</v>
      </c>
      <c r="AM9">
        <v>5.8736461665540025</v>
      </c>
      <c r="AN9">
        <v>5.9953792265048094</v>
      </c>
      <c r="AO9">
        <v>6.0890821353608979</v>
      </c>
      <c r="AP9">
        <v>6.2074485480666883</v>
      </c>
      <c r="AQ9">
        <v>6.3534961449764946</v>
      </c>
      <c r="AR9">
        <v>6.5004393056779204</v>
      </c>
      <c r="AS9">
        <v>7.2976539827633768</v>
      </c>
      <c r="AT9">
        <v>8.0430044052372409</v>
      </c>
      <c r="AU9">
        <v>8.7128158377582903</v>
      </c>
      <c r="AV9">
        <v>9.2977415841542292</v>
      </c>
      <c r="AW9">
        <v>9.8017522798158883</v>
      </c>
      <c r="AX9">
        <v>10.235691716033569</v>
      </c>
      <c r="AY9">
        <v>10.60889161503543</v>
      </c>
      <c r="AZ9">
        <v>10.923422452474185</v>
      </c>
      <c r="BA9">
        <v>11.174542298623516</v>
      </c>
      <c r="BB9">
        <v>11.358535822063075</v>
      </c>
      <c r="BC9">
        <v>0.11758890414004874</v>
      </c>
      <c r="BD9">
        <v>0.11932834079738144</v>
      </c>
      <c r="BE9">
        <v>0.12122288841545023</v>
      </c>
      <c r="BF9">
        <v>0.11786152350826416</v>
      </c>
      <c r="BG9">
        <v>0.12539668354554584</v>
      </c>
      <c r="BH9">
        <v>0.12760433316102784</v>
      </c>
      <c r="BI9">
        <v>0.12984150569683839</v>
      </c>
      <c r="BJ9">
        <v>0.13372109270644092</v>
      </c>
      <c r="BK9">
        <v>0.13679671770673035</v>
      </c>
      <c r="BL9">
        <v>0.13906076789084063</v>
      </c>
      <c r="BM9">
        <v>0.14065951889194084</v>
      </c>
      <c r="BN9">
        <v>0.14184047479976028</v>
      </c>
      <c r="BO9">
        <v>0.14286748943393265</v>
      </c>
      <c r="BP9">
        <v>0.14388608657077048</v>
      </c>
      <c r="BQ9">
        <v>0.14484619400396534</v>
      </c>
      <c r="BR9">
        <v>0.14552109138168573</v>
      </c>
      <c r="BS9">
        <v>0.14570260914606176</v>
      </c>
    </row>
    <row r="10" spans="2:71">
      <c r="B10">
        <v>4</v>
      </c>
      <c r="C10" s="15" t="s">
        <v>312</v>
      </c>
      <c r="D10">
        <v>239.70168284993787</v>
      </c>
      <c r="E10">
        <v>393.15821072071776</v>
      </c>
      <c r="F10">
        <v>595.88928029295073</v>
      </c>
      <c r="G10">
        <v>831.29759548595985</v>
      </c>
      <c r="H10">
        <v>1064.1396956654416</v>
      </c>
      <c r="I10">
        <v>1252.8969939742174</v>
      </c>
      <c r="J10">
        <v>1369.586710171048</v>
      </c>
      <c r="K10">
        <v>1408.1582447827354</v>
      </c>
      <c r="L10">
        <v>1385.5857305341851</v>
      </c>
      <c r="M10">
        <v>1321.5605560022138</v>
      </c>
      <c r="N10">
        <v>1236.2204846503816</v>
      </c>
      <c r="O10">
        <v>1149.276731746975</v>
      </c>
      <c r="P10">
        <v>1076.2149552550168</v>
      </c>
      <c r="Q10">
        <v>1024.3116372788636</v>
      </c>
      <c r="R10">
        <v>993.35303570523899</v>
      </c>
      <c r="S10">
        <v>978.84296399223331</v>
      </c>
      <c r="T10" s="15">
        <v>975.49853681123977</v>
      </c>
      <c r="U10">
        <v>56.819349499951841</v>
      </c>
      <c r="V10">
        <v>94.112396376145796</v>
      </c>
      <c r="W10">
        <v>159.06369440694519</v>
      </c>
      <c r="X10">
        <v>267.2522848103788</v>
      </c>
      <c r="Y10">
        <v>429.75927466837391</v>
      </c>
      <c r="Z10">
        <v>628.97460317668242</v>
      </c>
      <c r="AA10">
        <v>793.18927081099775</v>
      </c>
      <c r="AB10">
        <v>836.7367649612471</v>
      </c>
      <c r="AC10">
        <v>758.09580099192044</v>
      </c>
      <c r="AD10">
        <v>644.99855703349601</v>
      </c>
      <c r="AE10">
        <v>594.15736744943229</v>
      </c>
      <c r="AF10">
        <v>624.6365274279716</v>
      </c>
      <c r="AG10">
        <v>670.47554492163874</v>
      </c>
      <c r="AH10">
        <v>688.84229914821969</v>
      </c>
      <c r="AI10">
        <v>699.93770658605968</v>
      </c>
      <c r="AJ10">
        <v>723.66459991884926</v>
      </c>
      <c r="AK10" s="15">
        <v>753.95151598371672</v>
      </c>
      <c r="AL10">
        <v>1.612583187355658</v>
      </c>
      <c r="AM10">
        <v>2.1426150412382219</v>
      </c>
      <c r="AN10">
        <v>2.9417599680345177</v>
      </c>
      <c r="AO10">
        <v>4.105786255247069</v>
      </c>
      <c r="AP10">
        <v>5.7323091111280906</v>
      </c>
      <c r="AQ10">
        <v>7.9013675308018678</v>
      </c>
      <c r="AR10">
        <v>10.648767839868317</v>
      </c>
      <c r="AS10">
        <v>13.981169413765542</v>
      </c>
      <c r="AT10">
        <v>17.753869130018931</v>
      </c>
      <c r="AU10">
        <v>21.803389182138435</v>
      </c>
      <c r="AV10">
        <v>25.933172982858245</v>
      </c>
      <c r="AW10">
        <v>29.960479628678538</v>
      </c>
      <c r="AX10">
        <v>33.738574199591575</v>
      </c>
      <c r="AY10">
        <v>37.17282051106173</v>
      </c>
      <c r="AZ10">
        <v>40.221574280165996</v>
      </c>
      <c r="BA10">
        <v>42.885868191777767</v>
      </c>
      <c r="BB10">
        <v>45.185824470243439</v>
      </c>
      <c r="BC10">
        <v>1.0290582489556697</v>
      </c>
      <c r="BD10">
        <v>1.0404879499085613</v>
      </c>
      <c r="BE10">
        <v>1.0548344658569646</v>
      </c>
      <c r="BF10">
        <v>1.0294431919702678</v>
      </c>
      <c r="BG10">
        <v>1.0945877001559832</v>
      </c>
      <c r="BH10">
        <v>1.1198921130027919</v>
      </c>
      <c r="BI10">
        <v>1.1478439242435308</v>
      </c>
      <c r="BJ10">
        <v>1.1771014997842053</v>
      </c>
      <c r="BK10">
        <v>1.2011400525789211</v>
      </c>
      <c r="BL10">
        <v>1.2204895264942142</v>
      </c>
      <c r="BM10">
        <v>1.2359020975336821</v>
      </c>
      <c r="BN10">
        <v>1.2482916685757479</v>
      </c>
      <c r="BO10">
        <v>1.2583412866028194</v>
      </c>
      <c r="BP10">
        <v>1.266111070251797</v>
      </c>
      <c r="BQ10">
        <v>1.2713529310773897</v>
      </c>
      <c r="BR10">
        <v>1.2739418319089681</v>
      </c>
      <c r="BS10">
        <v>1.2742275647223706</v>
      </c>
    </row>
    <row r="11" spans="2:71">
      <c r="B11">
        <v>5</v>
      </c>
      <c r="C11" s="15" t="s">
        <v>313</v>
      </c>
      <c r="D11">
        <v>742.00098128943807</v>
      </c>
      <c r="E11">
        <v>1034.507683408325</v>
      </c>
      <c r="F11">
        <v>1278.8013596487822</v>
      </c>
      <c r="G11">
        <v>1431.1689769102045</v>
      </c>
      <c r="H11">
        <v>1472.9746419002172</v>
      </c>
      <c r="I11">
        <v>1417.8867382635322</v>
      </c>
      <c r="J11">
        <v>1301.1548030484294</v>
      </c>
      <c r="K11">
        <v>1141.2820717486311</v>
      </c>
      <c r="L11">
        <v>989.86025297870765</v>
      </c>
      <c r="M11">
        <v>863.22516596185574</v>
      </c>
      <c r="N11">
        <v>764.85447510333006</v>
      </c>
      <c r="O11">
        <v>691.2073199394805</v>
      </c>
      <c r="P11">
        <v>636.46452007306891</v>
      </c>
      <c r="Q11">
        <v>595.05030599636814</v>
      </c>
      <c r="R11">
        <v>562.78811341490859</v>
      </c>
      <c r="S11">
        <v>536.61329175251069</v>
      </c>
      <c r="T11" s="15">
        <v>514.58920033688548</v>
      </c>
      <c r="U11">
        <v>187.65967003465221</v>
      </c>
      <c r="V11">
        <v>376.39788737615584</v>
      </c>
      <c r="W11">
        <v>689.18861602092807</v>
      </c>
      <c r="X11">
        <v>1125.796738480838</v>
      </c>
      <c r="Y11">
        <v>1590.2615410062285</v>
      </c>
      <c r="Z11">
        <v>1882.2924377721642</v>
      </c>
      <c r="AA11">
        <v>1828.3378751818727</v>
      </c>
      <c r="AB11">
        <v>1481.2735462725993</v>
      </c>
      <c r="AC11">
        <v>1114.5475399548734</v>
      </c>
      <c r="AD11">
        <v>946.1445413594181</v>
      </c>
      <c r="AE11">
        <v>949.15396252166033</v>
      </c>
      <c r="AF11">
        <v>976.84988279812842</v>
      </c>
      <c r="AG11">
        <v>961.11577240917381</v>
      </c>
      <c r="AH11">
        <v>926.99457577480291</v>
      </c>
      <c r="AI11">
        <v>904.46506649158289</v>
      </c>
      <c r="AJ11">
        <v>894.2173070364729</v>
      </c>
      <c r="AK11" s="15">
        <v>886.01860837950062</v>
      </c>
      <c r="AL11">
        <v>4.4060963748379551</v>
      </c>
      <c r="AM11">
        <v>6.7333182206802009</v>
      </c>
      <c r="AN11">
        <v>9.7064300033700306</v>
      </c>
      <c r="AO11">
        <v>13.28808186560765</v>
      </c>
      <c r="AP11">
        <v>17.337198711605701</v>
      </c>
      <c r="AQ11">
        <v>21.643852439991331</v>
      </c>
      <c r="AR11">
        <v>25.970040323924085</v>
      </c>
      <c r="AS11">
        <v>29.995197167322456</v>
      </c>
      <c r="AT11">
        <v>33.573970526669449</v>
      </c>
      <c r="AU11">
        <v>36.548403130845898</v>
      </c>
      <c r="AV11">
        <v>38.837473368233354</v>
      </c>
      <c r="AW11">
        <v>40.451320265326515</v>
      </c>
      <c r="AX11">
        <v>41.469134402085942</v>
      </c>
      <c r="AY11">
        <v>41.992165448166887</v>
      </c>
      <c r="AZ11">
        <v>42.130401450071091</v>
      </c>
      <c r="BA11">
        <v>41.967713859715133</v>
      </c>
      <c r="BB11">
        <v>41.582933320657489</v>
      </c>
      <c r="BC11">
        <v>2.6417888272952395</v>
      </c>
      <c r="BD11">
        <v>2.6965560728559619</v>
      </c>
      <c r="BE11">
        <v>2.7540887732017776</v>
      </c>
      <c r="BF11">
        <v>2.7445492124725215</v>
      </c>
      <c r="BG11">
        <v>2.8798123657827501</v>
      </c>
      <c r="BH11">
        <v>2.9483409987536855</v>
      </c>
      <c r="BI11">
        <v>3.0201179903718156</v>
      </c>
      <c r="BJ11">
        <v>3.040562308554835</v>
      </c>
      <c r="BK11">
        <v>3.0454402573249317</v>
      </c>
      <c r="BL11">
        <v>3.0347259919463174</v>
      </c>
      <c r="BM11">
        <v>3.0087182424831651</v>
      </c>
      <c r="BN11">
        <v>2.9696082732598814</v>
      </c>
      <c r="BO11">
        <v>2.9208475198893282</v>
      </c>
      <c r="BP11">
        <v>2.8652827093536639</v>
      </c>
      <c r="BQ11">
        <v>2.805700903762649</v>
      </c>
      <c r="BR11">
        <v>2.7432723221131883</v>
      </c>
      <c r="BS11">
        <v>2.6794354574330321</v>
      </c>
    </row>
    <row r="12" spans="2:71">
      <c r="B12">
        <v>6</v>
      </c>
      <c r="C12" s="15" t="s">
        <v>295</v>
      </c>
      <c r="D12">
        <v>1522.2751113512936</v>
      </c>
      <c r="E12">
        <v>1411.7442564117671</v>
      </c>
      <c r="F12">
        <v>1220.1119684637479</v>
      </c>
      <c r="G12">
        <v>1010.6533731887395</v>
      </c>
      <c r="H12">
        <v>819.2242578016976</v>
      </c>
      <c r="I12">
        <v>657.2563873978786</v>
      </c>
      <c r="J12">
        <v>522.35111500766504</v>
      </c>
      <c r="K12">
        <v>470.813891299364</v>
      </c>
      <c r="L12">
        <v>430.72017945054785</v>
      </c>
      <c r="M12">
        <v>398.25882048091376</v>
      </c>
      <c r="N12">
        <v>371.58997186077215</v>
      </c>
      <c r="O12">
        <v>349.60835117947556</v>
      </c>
      <c r="P12">
        <v>331.42690435749586</v>
      </c>
      <c r="Q12">
        <v>316.32584779896945</v>
      </c>
      <c r="R12">
        <v>303.79528361373787</v>
      </c>
      <c r="S12">
        <v>293.28038952563412</v>
      </c>
      <c r="T12" s="15">
        <v>283.98169259623995</v>
      </c>
      <c r="U12">
        <v>967.55144365162369</v>
      </c>
      <c r="V12">
        <v>1342.4427621782515</v>
      </c>
      <c r="W12">
        <v>1431.3886562317948</v>
      </c>
      <c r="X12">
        <v>1156.9420933438628</v>
      </c>
      <c r="Y12">
        <v>811.45668105359255</v>
      </c>
      <c r="Z12">
        <v>670.88235818480189</v>
      </c>
      <c r="AA12">
        <v>682.35093013588812</v>
      </c>
      <c r="AB12">
        <v>691.8785178646998</v>
      </c>
      <c r="AC12">
        <v>664.42730836407668</v>
      </c>
      <c r="AD12">
        <v>631.80661350018511</v>
      </c>
      <c r="AE12">
        <v>610.88651370230741</v>
      </c>
      <c r="AF12">
        <v>597.98136229209217</v>
      </c>
      <c r="AG12">
        <v>586.33985511841445</v>
      </c>
      <c r="AH12">
        <v>573.25550749965919</v>
      </c>
      <c r="AI12">
        <v>559.1243661964935</v>
      </c>
      <c r="AJ12">
        <v>544.88917075625386</v>
      </c>
      <c r="AK12" s="15">
        <v>530.61623766863238</v>
      </c>
      <c r="AL12">
        <v>38.836620740303658</v>
      </c>
      <c r="AM12">
        <v>39.850611718317083</v>
      </c>
      <c r="AN12">
        <v>40.620718209372711</v>
      </c>
      <c r="AO12">
        <v>40.929162021089546</v>
      </c>
      <c r="AP12">
        <v>40.570246861495818</v>
      </c>
      <c r="AQ12">
        <v>39.455398422011534</v>
      </c>
      <c r="AR12">
        <v>37.593254146310358</v>
      </c>
      <c r="AS12">
        <v>38.827653092027944</v>
      </c>
      <c r="AT12">
        <v>39.400900298812928</v>
      </c>
      <c r="AU12">
        <v>39.485733461987756</v>
      </c>
      <c r="AV12">
        <v>39.236599536277197</v>
      </c>
      <c r="AW12">
        <v>38.754982141945305</v>
      </c>
      <c r="AX12">
        <v>38.116853419710623</v>
      </c>
      <c r="AY12">
        <v>37.39614211806434</v>
      </c>
      <c r="AZ12">
        <v>36.663278402102101</v>
      </c>
      <c r="BA12">
        <v>35.950771218896257</v>
      </c>
      <c r="BB12">
        <v>35.228341815750476</v>
      </c>
      <c r="BC12">
        <v>27.993228855293612</v>
      </c>
      <c r="BD12">
        <v>28.322247529609665</v>
      </c>
      <c r="BE12">
        <v>28.6368213449161</v>
      </c>
      <c r="BF12">
        <v>29.421386885487749</v>
      </c>
      <c r="BG12">
        <v>29.227117955108586</v>
      </c>
      <c r="BH12">
        <v>29.497731371490982</v>
      </c>
      <c r="BI12">
        <v>29.76593553286876</v>
      </c>
      <c r="BJ12">
        <v>28.926040544095947</v>
      </c>
      <c r="BK12">
        <v>28.027622995331612</v>
      </c>
      <c r="BL12">
        <v>27.104939320484867</v>
      </c>
      <c r="BM12">
        <v>26.193683785360268</v>
      </c>
      <c r="BN12">
        <v>25.319273086126778</v>
      </c>
      <c r="BO12">
        <v>24.503693763626522</v>
      </c>
      <c r="BP12">
        <v>23.759486398739117</v>
      </c>
      <c r="BQ12">
        <v>23.09562124191303</v>
      </c>
      <c r="BR12">
        <v>22.504404620059866</v>
      </c>
      <c r="BS12">
        <v>21.9618862116663</v>
      </c>
    </row>
    <row r="13" spans="2:71">
      <c r="B13">
        <v>7</v>
      </c>
      <c r="C13" s="15" t="s">
        <v>314</v>
      </c>
      <c r="D13">
        <v>398.96632454752853</v>
      </c>
      <c r="E13">
        <v>460.94175250203944</v>
      </c>
      <c r="F13">
        <v>495.09314514126572</v>
      </c>
      <c r="G13">
        <v>496.42567742618888</v>
      </c>
      <c r="H13">
        <v>470.30064966280901</v>
      </c>
      <c r="I13">
        <v>428.8082689565972</v>
      </c>
      <c r="J13">
        <v>384.34997964443215</v>
      </c>
      <c r="K13">
        <v>338.5029738901232</v>
      </c>
      <c r="L13">
        <v>301.32134164482898</v>
      </c>
      <c r="M13">
        <v>272.8995594541322</v>
      </c>
      <c r="N13">
        <v>251.72836009193477</v>
      </c>
      <c r="O13">
        <v>236.016959406605</v>
      </c>
      <c r="P13">
        <v>224.1880390648432</v>
      </c>
      <c r="Q13">
        <v>215.00896444007975</v>
      </c>
      <c r="R13">
        <v>207.62092251995202</v>
      </c>
      <c r="S13">
        <v>201.43911907872942</v>
      </c>
      <c r="T13" s="15">
        <v>196.07265029309801</v>
      </c>
      <c r="U13">
        <v>223.81362455062177</v>
      </c>
      <c r="V13">
        <v>324.63623705626065</v>
      </c>
      <c r="W13">
        <v>445.88838714651536</v>
      </c>
      <c r="X13">
        <v>557.13877817119612</v>
      </c>
      <c r="Y13">
        <v>605.24741185478865</v>
      </c>
      <c r="Z13">
        <v>553.21299296548204</v>
      </c>
      <c r="AA13">
        <v>436.98472371996547</v>
      </c>
      <c r="AB13">
        <v>346.19011267112523</v>
      </c>
      <c r="AC13">
        <v>323.86534457780846</v>
      </c>
      <c r="AD13">
        <v>335.64128608581552</v>
      </c>
      <c r="AE13">
        <v>341.60415206338803</v>
      </c>
      <c r="AF13">
        <v>337.11641228438333</v>
      </c>
      <c r="AG13">
        <v>331.35647077427046</v>
      </c>
      <c r="AH13">
        <v>328.58354998141914</v>
      </c>
      <c r="AI13">
        <v>327.81980637300984</v>
      </c>
      <c r="AJ13">
        <v>326.95345301164809</v>
      </c>
      <c r="AK13" s="15">
        <v>324.81780944325948</v>
      </c>
      <c r="AL13">
        <v>4.5364055189767152</v>
      </c>
      <c r="AM13">
        <v>5.3145815190268513</v>
      </c>
      <c r="AN13">
        <v>6.2277280215325552</v>
      </c>
      <c r="AO13">
        <v>7.2467635803242043</v>
      </c>
      <c r="AP13">
        <v>8.3260469715745646</v>
      </c>
      <c r="AQ13">
        <v>9.4097756944235815</v>
      </c>
      <c r="AR13">
        <v>10.431698903293848</v>
      </c>
      <c r="AS13">
        <v>11.608023732922817</v>
      </c>
      <c r="AT13">
        <v>12.633451452264891</v>
      </c>
      <c r="AU13">
        <v>13.485495351778395</v>
      </c>
      <c r="AV13">
        <v>14.163165161255506</v>
      </c>
      <c r="AW13">
        <v>14.681608449931879</v>
      </c>
      <c r="AX13">
        <v>15.061774518238568</v>
      </c>
      <c r="AY13">
        <v>15.3232286178177</v>
      </c>
      <c r="AZ13">
        <v>15.484974490553983</v>
      </c>
      <c r="BA13">
        <v>15.564371862310606</v>
      </c>
      <c r="BB13">
        <v>15.575388994935343</v>
      </c>
      <c r="BC13">
        <v>9.3673599135397971</v>
      </c>
      <c r="BD13">
        <v>9.5013260816863241</v>
      </c>
      <c r="BE13">
        <v>9.6411690877099261</v>
      </c>
      <c r="BF13">
        <v>9.5379304470443049</v>
      </c>
      <c r="BG13">
        <v>9.9439073269866363</v>
      </c>
      <c r="BH13">
        <v>10.107576529360376</v>
      </c>
      <c r="BI13">
        <v>10.278806594329126</v>
      </c>
      <c r="BJ13">
        <v>10.385792146863148</v>
      </c>
      <c r="BK13">
        <v>10.455566569305482</v>
      </c>
      <c r="BL13">
        <v>10.496603119607872</v>
      </c>
      <c r="BM13">
        <v>10.515250394194167</v>
      </c>
      <c r="BN13">
        <v>10.51564577138914</v>
      </c>
      <c r="BO13">
        <v>10.498064473927178</v>
      </c>
      <c r="BP13">
        <v>10.461195814302709</v>
      </c>
      <c r="BQ13">
        <v>10.40639425195098</v>
      </c>
      <c r="BR13">
        <v>10.336922404315894</v>
      </c>
      <c r="BS13">
        <v>10.255351001583069</v>
      </c>
    </row>
    <row r="14" spans="2:71">
      <c r="B14">
        <v>8</v>
      </c>
      <c r="C14" s="15" t="s">
        <v>290</v>
      </c>
      <c r="D14">
        <v>190.20245926798748</v>
      </c>
      <c r="E14">
        <v>191.02330540913348</v>
      </c>
      <c r="F14">
        <v>191.15738206483616</v>
      </c>
      <c r="G14">
        <v>190.14603909616619</v>
      </c>
      <c r="H14">
        <v>187.70847299658217</v>
      </c>
      <c r="I14">
        <v>184.48356799857456</v>
      </c>
      <c r="J14">
        <v>181.40968855177624</v>
      </c>
      <c r="K14">
        <v>173.52297249971448</v>
      </c>
      <c r="L14">
        <v>167.03079664002797</v>
      </c>
      <c r="M14">
        <v>162.04462247973902</v>
      </c>
      <c r="N14">
        <v>158.34788266644938</v>
      </c>
      <c r="O14">
        <v>155.60088773500729</v>
      </c>
      <c r="P14">
        <v>153.5283031746149</v>
      </c>
      <c r="Q14">
        <v>151.95062766403919</v>
      </c>
      <c r="R14">
        <v>150.77622865913321</v>
      </c>
      <c r="S14">
        <v>149.97144554681904</v>
      </c>
      <c r="T14" s="15">
        <v>149.48079099998361</v>
      </c>
      <c r="U14">
        <v>247.75788055155198</v>
      </c>
      <c r="V14">
        <v>273.8234165990367</v>
      </c>
      <c r="W14">
        <v>298.75167310255517</v>
      </c>
      <c r="X14">
        <v>314.27405069115292</v>
      </c>
      <c r="Y14">
        <v>314.17263269155347</v>
      </c>
      <c r="Z14">
        <v>298.45408124350786</v>
      </c>
      <c r="AA14">
        <v>275.68812624082352</v>
      </c>
      <c r="AB14">
        <v>259.15133464444767</v>
      </c>
      <c r="AC14">
        <v>256.24897312079798</v>
      </c>
      <c r="AD14">
        <v>262.89041544477311</v>
      </c>
      <c r="AE14">
        <v>270.36472360237963</v>
      </c>
      <c r="AF14">
        <v>274.38346080583898</v>
      </c>
      <c r="AG14">
        <v>275.96006561616792</v>
      </c>
      <c r="AH14">
        <v>277.19826154370293</v>
      </c>
      <c r="AI14">
        <v>278.89608041449429</v>
      </c>
      <c r="AJ14">
        <v>280.86127883320137</v>
      </c>
      <c r="AK14" s="15">
        <v>282.69926205478959</v>
      </c>
      <c r="AL14">
        <v>10.684145378528973</v>
      </c>
      <c r="AM14">
        <v>11.071629083592136</v>
      </c>
      <c r="AN14">
        <v>11.369054780882355</v>
      </c>
      <c r="AO14">
        <v>11.577132662465614</v>
      </c>
      <c r="AP14">
        <v>11.676307697400707</v>
      </c>
      <c r="AQ14">
        <v>11.675257451967523</v>
      </c>
      <c r="AR14">
        <v>11.591249375301787</v>
      </c>
      <c r="AS14">
        <v>11.966594766259467</v>
      </c>
      <c r="AT14">
        <v>12.327483351537168</v>
      </c>
      <c r="AU14">
        <v>12.677439451964879</v>
      </c>
      <c r="AV14">
        <v>13.00941970107055</v>
      </c>
      <c r="AW14">
        <v>13.312753162193923</v>
      </c>
      <c r="AX14">
        <v>13.5850164508999</v>
      </c>
      <c r="AY14">
        <v>13.832522318264015</v>
      </c>
      <c r="AZ14">
        <v>14.065208205781929</v>
      </c>
      <c r="BA14">
        <v>14.294332342592023</v>
      </c>
      <c r="BB14">
        <v>14.523719219451609</v>
      </c>
      <c r="BC14">
        <v>51.812626567571471</v>
      </c>
      <c r="BD14">
        <v>52.29055906183941</v>
      </c>
      <c r="BE14">
        <v>52.761087537671095</v>
      </c>
      <c r="BF14">
        <v>51.992714492536884</v>
      </c>
      <c r="BG14">
        <v>53.613546696342823</v>
      </c>
      <c r="BH14">
        <v>53.981142955362223</v>
      </c>
      <c r="BI14">
        <v>54.312910113984138</v>
      </c>
      <c r="BJ14">
        <v>55.227507820640817</v>
      </c>
      <c r="BK14">
        <v>56.178419720540468</v>
      </c>
      <c r="BL14">
        <v>57.169565007613635</v>
      </c>
      <c r="BM14">
        <v>58.155859011170556</v>
      </c>
      <c r="BN14">
        <v>59.079663656767771</v>
      </c>
      <c r="BO14">
        <v>59.92330439087236</v>
      </c>
      <c r="BP14">
        <v>60.707801719356063</v>
      </c>
      <c r="BQ14">
        <v>61.470815504732286</v>
      </c>
      <c r="BR14">
        <v>62.256972020244163</v>
      </c>
      <c r="BS14">
        <v>63.077523912975686</v>
      </c>
    </row>
    <row r="15" spans="2:71">
      <c r="B15">
        <v>9</v>
      </c>
      <c r="C15" s="15" t="s">
        <v>315</v>
      </c>
      <c r="D15">
        <v>238.34828507223031</v>
      </c>
      <c r="E15">
        <v>264.56949601185727</v>
      </c>
      <c r="F15">
        <v>280.369070368454</v>
      </c>
      <c r="G15">
        <v>284.66481560748292</v>
      </c>
      <c r="H15">
        <v>279.43786657788371</v>
      </c>
      <c r="I15">
        <v>268.47849706929395</v>
      </c>
      <c r="J15">
        <v>256.01054096896519</v>
      </c>
      <c r="K15">
        <v>227.94719846073579</v>
      </c>
      <c r="L15">
        <v>203.60800016830686</v>
      </c>
      <c r="M15">
        <v>183.66099070170063</v>
      </c>
      <c r="N15">
        <v>167.82240809358549</v>
      </c>
      <c r="O15">
        <v>155.36986212516575</v>
      </c>
      <c r="P15">
        <v>145.50427962730916</v>
      </c>
      <c r="Q15">
        <v>137.56139446135268</v>
      </c>
      <c r="R15">
        <v>131.02063422112371</v>
      </c>
      <c r="S15">
        <v>125.49799615434931</v>
      </c>
      <c r="T15" s="15">
        <v>120.72835558500155</v>
      </c>
      <c r="U15">
        <v>258.2613863122254</v>
      </c>
      <c r="V15">
        <v>327.67610697915029</v>
      </c>
      <c r="W15">
        <v>394.85724236647405</v>
      </c>
      <c r="X15">
        <v>440.51012961580017</v>
      </c>
      <c r="Y15">
        <v>444.71561955625157</v>
      </c>
      <c r="Z15">
        <v>403.15257782030852</v>
      </c>
      <c r="AA15">
        <v>337.24338321379412</v>
      </c>
      <c r="AB15">
        <v>280.3652655308843</v>
      </c>
      <c r="AC15">
        <v>251.37978314371907</v>
      </c>
      <c r="AD15">
        <v>245.20634995657727</v>
      </c>
      <c r="AE15">
        <v>246.27063650111768</v>
      </c>
      <c r="AF15">
        <v>244.1318889441232</v>
      </c>
      <c r="AG15">
        <v>237.98112180231161</v>
      </c>
      <c r="AH15">
        <v>231.59803581334108</v>
      </c>
      <c r="AI15">
        <v>227.18462266983076</v>
      </c>
      <c r="AJ15">
        <v>224.20202468963808</v>
      </c>
      <c r="AK15" s="15">
        <v>221.3006894172928</v>
      </c>
      <c r="AL15">
        <v>3.8342524552750485</v>
      </c>
      <c r="AM15">
        <v>4.1913468580796929</v>
      </c>
      <c r="AN15">
        <v>4.5756800205904691</v>
      </c>
      <c r="AO15">
        <v>4.9806171143953391</v>
      </c>
      <c r="AP15">
        <v>5.4008421679978547</v>
      </c>
      <c r="AQ15">
        <v>5.8105764790777963</v>
      </c>
      <c r="AR15">
        <v>6.1814990648935986</v>
      </c>
      <c r="AS15">
        <v>6.7549984723830834</v>
      </c>
      <c r="AT15">
        <v>7.2409427732252549</v>
      </c>
      <c r="AU15">
        <v>7.6241133649269859</v>
      </c>
      <c r="AV15">
        <v>7.9002451794117752</v>
      </c>
      <c r="AW15">
        <v>8.0756490444707332</v>
      </c>
      <c r="AX15">
        <v>8.1631144436121215</v>
      </c>
      <c r="AY15">
        <v>8.1810756800124569</v>
      </c>
      <c r="AZ15">
        <v>8.1455469081030163</v>
      </c>
      <c r="BA15">
        <v>8.0703540087639016</v>
      </c>
      <c r="BB15">
        <v>7.9669439208658144</v>
      </c>
      <c r="BC15">
        <v>25.125519256076913</v>
      </c>
      <c r="BD15">
        <v>25.409794618453571</v>
      </c>
      <c r="BE15">
        <v>25.721816346449415</v>
      </c>
      <c r="BF15">
        <v>25.760367486610814</v>
      </c>
      <c r="BG15">
        <v>26.442370905891075</v>
      </c>
      <c r="BH15">
        <v>26.84705053557709</v>
      </c>
      <c r="BI15">
        <v>27.273204848086742</v>
      </c>
      <c r="BJ15">
        <v>27.169427371330663</v>
      </c>
      <c r="BK15">
        <v>26.941885056274501</v>
      </c>
      <c r="BL15">
        <v>26.601050545991196</v>
      </c>
      <c r="BM15">
        <v>26.161454271099537</v>
      </c>
      <c r="BN15">
        <v>25.641990351495792</v>
      </c>
      <c r="BO15">
        <v>25.063810880191937</v>
      </c>
      <c r="BP15">
        <v>24.456338042477547</v>
      </c>
      <c r="BQ15">
        <v>23.840023232864802</v>
      </c>
      <c r="BR15">
        <v>23.230997525630286</v>
      </c>
      <c r="BS15">
        <v>22.640378838258016</v>
      </c>
    </row>
    <row r="16" spans="2:71">
      <c r="C16" s="15"/>
      <c r="T16" s="15"/>
      <c r="AK16" s="15"/>
    </row>
    <row r="17" spans="2:71">
      <c r="C17" s="15"/>
      <c r="D17" t="s">
        <v>328</v>
      </c>
      <c r="E17" t="s">
        <v>332</v>
      </c>
      <c r="F17" t="s">
        <v>329</v>
      </c>
      <c r="G17" s="64" t="s">
        <v>330</v>
      </c>
      <c r="T17" s="15"/>
      <c r="U17" t="s">
        <v>328</v>
      </c>
      <c r="V17" t="s">
        <v>331</v>
      </c>
      <c r="W17" t="s">
        <v>329</v>
      </c>
      <c r="X17" s="64" t="s">
        <v>330</v>
      </c>
      <c r="Y17" s="64" t="s">
        <v>335</v>
      </c>
      <c r="AK17" s="15"/>
      <c r="AL17" t="s">
        <v>328</v>
      </c>
      <c r="AM17" t="s">
        <v>333</v>
      </c>
      <c r="AN17" t="s">
        <v>329</v>
      </c>
      <c r="AO17" s="64" t="s">
        <v>330</v>
      </c>
      <c r="BC17" t="s">
        <v>328</v>
      </c>
      <c r="BD17" t="s">
        <v>333</v>
      </c>
      <c r="BE17" t="s">
        <v>329</v>
      </c>
      <c r="BF17" s="64" t="s">
        <v>330</v>
      </c>
    </row>
    <row r="18" spans="2:71">
      <c r="B18" t="s">
        <v>322</v>
      </c>
      <c r="C18" s="15" t="s">
        <v>325</v>
      </c>
      <c r="D18" s="1">
        <v>1</v>
      </c>
      <c r="E18" s="1">
        <v>1</v>
      </c>
      <c r="F18" s="1">
        <v>1</v>
      </c>
      <c r="G18" s="1">
        <v>1</v>
      </c>
      <c r="H18" s="1">
        <v>1</v>
      </c>
      <c r="I18" s="1">
        <v>1</v>
      </c>
      <c r="J18" s="1">
        <v>1</v>
      </c>
      <c r="K18" s="1">
        <v>1</v>
      </c>
      <c r="L18" s="1">
        <v>1</v>
      </c>
      <c r="M18" s="1">
        <v>1</v>
      </c>
      <c r="N18" s="1">
        <v>1</v>
      </c>
      <c r="O18" s="1">
        <v>1</v>
      </c>
      <c r="P18" s="1">
        <v>1</v>
      </c>
      <c r="Q18" s="1">
        <v>1</v>
      </c>
      <c r="R18" s="1">
        <v>1</v>
      </c>
      <c r="S18" s="1">
        <v>1</v>
      </c>
      <c r="T18" s="50">
        <v>1</v>
      </c>
      <c r="U18" s="23">
        <v>1</v>
      </c>
      <c r="V18" s="23">
        <v>1</v>
      </c>
      <c r="W18" s="23">
        <v>1</v>
      </c>
      <c r="X18" s="23">
        <v>1</v>
      </c>
      <c r="Y18" s="23">
        <v>1</v>
      </c>
      <c r="Z18" s="23">
        <v>1</v>
      </c>
      <c r="AA18" s="23">
        <v>1</v>
      </c>
      <c r="AB18" s="23">
        <v>1</v>
      </c>
      <c r="AC18" s="23">
        <v>1</v>
      </c>
      <c r="AD18" s="23">
        <v>1</v>
      </c>
      <c r="AE18" s="23">
        <v>1</v>
      </c>
      <c r="AF18" s="23">
        <v>1</v>
      </c>
      <c r="AG18" s="23">
        <v>1</v>
      </c>
      <c r="AH18" s="23">
        <v>1</v>
      </c>
      <c r="AI18" s="23">
        <v>1</v>
      </c>
      <c r="AJ18" s="23">
        <v>1</v>
      </c>
      <c r="AK18" s="23">
        <v>1</v>
      </c>
      <c r="AL18" s="1">
        <v>1</v>
      </c>
      <c r="AM18" s="1">
        <v>1</v>
      </c>
      <c r="AN18" s="1">
        <v>1</v>
      </c>
      <c r="AO18" s="1">
        <v>1</v>
      </c>
      <c r="AP18" s="1">
        <v>1</v>
      </c>
      <c r="AQ18" s="1">
        <v>1</v>
      </c>
      <c r="AR18" s="1">
        <v>1</v>
      </c>
      <c r="AS18" s="1">
        <v>1</v>
      </c>
      <c r="AT18" s="1">
        <v>1</v>
      </c>
      <c r="AU18" s="1">
        <v>1</v>
      </c>
      <c r="AV18" s="1">
        <v>1</v>
      </c>
      <c r="AW18" s="1">
        <v>1</v>
      </c>
      <c r="AX18" s="1">
        <v>1</v>
      </c>
      <c r="AY18" s="1">
        <v>1</v>
      </c>
      <c r="AZ18" s="1">
        <v>1</v>
      </c>
      <c r="BA18" s="1">
        <v>1</v>
      </c>
      <c r="BB18" s="1">
        <v>1</v>
      </c>
      <c r="BC18" s="1">
        <v>1</v>
      </c>
      <c r="BD18" s="1">
        <v>1</v>
      </c>
      <c r="BE18" s="1">
        <v>1</v>
      </c>
      <c r="BF18" s="1">
        <v>1</v>
      </c>
      <c r="BG18" s="1">
        <v>1</v>
      </c>
      <c r="BH18" s="1">
        <v>1</v>
      </c>
      <c r="BI18" s="1">
        <v>1</v>
      </c>
      <c r="BJ18" s="1">
        <v>1</v>
      </c>
      <c r="BK18" s="1">
        <v>1</v>
      </c>
      <c r="BL18" s="1">
        <v>1</v>
      </c>
      <c r="BM18" s="1">
        <v>1</v>
      </c>
      <c r="BN18" s="1">
        <v>1</v>
      </c>
      <c r="BO18" s="1">
        <v>1</v>
      </c>
      <c r="BP18" s="1">
        <v>1</v>
      </c>
      <c r="BQ18" s="1">
        <v>1</v>
      </c>
      <c r="BR18" s="1">
        <v>1</v>
      </c>
      <c r="BS18" s="1">
        <v>1</v>
      </c>
    </row>
    <row r="19" spans="2:71">
      <c r="B19" t="s">
        <v>323</v>
      </c>
      <c r="C19" s="15" t="s">
        <v>326</v>
      </c>
      <c r="D19">
        <f>1/8.7</f>
        <v>0.1149425287356322</v>
      </c>
      <c r="E19">
        <f t="shared" ref="E19:T19" si="0">1/8.7</f>
        <v>0.1149425287356322</v>
      </c>
      <c r="F19">
        <f t="shared" si="0"/>
        <v>0.1149425287356322</v>
      </c>
      <c r="G19">
        <f t="shared" si="0"/>
        <v>0.1149425287356322</v>
      </c>
      <c r="H19">
        <f t="shared" si="0"/>
        <v>0.1149425287356322</v>
      </c>
      <c r="I19">
        <f t="shared" si="0"/>
        <v>0.1149425287356322</v>
      </c>
      <c r="J19">
        <f t="shared" si="0"/>
        <v>0.1149425287356322</v>
      </c>
      <c r="K19">
        <f t="shared" si="0"/>
        <v>0.1149425287356322</v>
      </c>
      <c r="L19">
        <f t="shared" si="0"/>
        <v>0.1149425287356322</v>
      </c>
      <c r="M19">
        <f t="shared" si="0"/>
        <v>0.1149425287356322</v>
      </c>
      <c r="N19">
        <f t="shared" si="0"/>
        <v>0.1149425287356322</v>
      </c>
      <c r="O19">
        <f t="shared" si="0"/>
        <v>0.1149425287356322</v>
      </c>
      <c r="P19">
        <f t="shared" si="0"/>
        <v>0.1149425287356322</v>
      </c>
      <c r="Q19">
        <f t="shared" si="0"/>
        <v>0.1149425287356322</v>
      </c>
      <c r="R19">
        <f t="shared" si="0"/>
        <v>0.1149425287356322</v>
      </c>
      <c r="S19">
        <f t="shared" si="0"/>
        <v>0.1149425287356322</v>
      </c>
      <c r="T19" s="15">
        <f t="shared" si="0"/>
        <v>0.1149425287356322</v>
      </c>
      <c r="U19">
        <f>1/5.4</f>
        <v>0.18518518518518517</v>
      </c>
      <c r="V19">
        <f t="shared" ref="V19:AK19" si="1">1/5.4</f>
        <v>0.18518518518518517</v>
      </c>
      <c r="W19">
        <f t="shared" si="1"/>
        <v>0.18518518518518517</v>
      </c>
      <c r="X19">
        <f t="shared" si="1"/>
        <v>0.18518518518518517</v>
      </c>
      <c r="Y19">
        <f t="shared" si="1"/>
        <v>0.18518518518518517</v>
      </c>
      <c r="Z19">
        <f t="shared" si="1"/>
        <v>0.18518518518518517</v>
      </c>
      <c r="AA19">
        <f t="shared" si="1"/>
        <v>0.18518518518518517</v>
      </c>
      <c r="AB19">
        <f t="shared" si="1"/>
        <v>0.18518518518518517</v>
      </c>
      <c r="AC19">
        <f t="shared" si="1"/>
        <v>0.18518518518518517</v>
      </c>
      <c r="AD19">
        <f t="shared" si="1"/>
        <v>0.18518518518518517</v>
      </c>
      <c r="AE19">
        <f t="shared" si="1"/>
        <v>0.18518518518518517</v>
      </c>
      <c r="AF19">
        <f t="shared" si="1"/>
        <v>0.18518518518518517</v>
      </c>
      <c r="AG19">
        <f t="shared" si="1"/>
        <v>0.18518518518518517</v>
      </c>
      <c r="AH19">
        <f t="shared" si="1"/>
        <v>0.18518518518518517</v>
      </c>
      <c r="AI19">
        <f t="shared" si="1"/>
        <v>0.18518518518518517</v>
      </c>
      <c r="AJ19">
        <f t="shared" si="1"/>
        <v>0.18518518518518517</v>
      </c>
      <c r="AK19" s="15">
        <f t="shared" si="1"/>
        <v>0.18518518518518517</v>
      </c>
      <c r="AL19">
        <v>3.45</v>
      </c>
      <c r="AM19">
        <v>3.45</v>
      </c>
      <c r="AN19">
        <v>3.45</v>
      </c>
      <c r="AO19">
        <v>3.45</v>
      </c>
      <c r="AP19">
        <v>3.45</v>
      </c>
      <c r="AQ19">
        <v>3.45</v>
      </c>
      <c r="AR19">
        <v>3.45</v>
      </c>
      <c r="AS19">
        <v>3.45</v>
      </c>
      <c r="AT19">
        <v>3.45</v>
      </c>
      <c r="AU19">
        <v>3.45</v>
      </c>
      <c r="AV19">
        <v>3.45</v>
      </c>
      <c r="AW19">
        <v>3.45</v>
      </c>
      <c r="AX19">
        <v>3.45</v>
      </c>
      <c r="AY19">
        <v>3.45</v>
      </c>
      <c r="AZ19">
        <v>3.45</v>
      </c>
      <c r="BA19">
        <v>3.45</v>
      </c>
      <c r="BB19">
        <v>3.45</v>
      </c>
      <c r="BC19" s="24">
        <v>3.45</v>
      </c>
      <c r="BD19" s="24">
        <v>3.45</v>
      </c>
      <c r="BE19" s="24">
        <v>3.45</v>
      </c>
      <c r="BF19" s="24">
        <v>3.45</v>
      </c>
      <c r="BG19" s="24">
        <v>3.45</v>
      </c>
      <c r="BH19" s="24">
        <v>3.45</v>
      </c>
      <c r="BI19" s="24">
        <v>3.45</v>
      </c>
      <c r="BJ19" s="24">
        <v>3.45</v>
      </c>
      <c r="BK19" s="24">
        <v>3.45</v>
      </c>
      <c r="BL19" s="24">
        <v>3.45</v>
      </c>
      <c r="BM19" s="24">
        <v>3.45</v>
      </c>
      <c r="BN19" s="24">
        <v>3.45</v>
      </c>
      <c r="BO19" s="24">
        <v>3.45</v>
      </c>
      <c r="BP19" s="24">
        <v>3.45</v>
      </c>
      <c r="BQ19" s="24">
        <v>3.45</v>
      </c>
      <c r="BR19" s="24">
        <v>3.45</v>
      </c>
      <c r="BS19" s="24">
        <v>3.45</v>
      </c>
    </row>
    <row r="20" spans="2:71">
      <c r="B20" t="s">
        <v>324</v>
      </c>
      <c r="C20" s="15" t="s">
        <v>327</v>
      </c>
      <c r="D20">
        <v>0.33</v>
      </c>
      <c r="E20">
        <v>0.33</v>
      </c>
      <c r="F20">
        <v>0.33</v>
      </c>
      <c r="G20">
        <v>0.33</v>
      </c>
      <c r="H20">
        <v>0.33</v>
      </c>
      <c r="I20">
        <v>0.33</v>
      </c>
      <c r="J20">
        <v>0.33</v>
      </c>
      <c r="K20">
        <v>0.33</v>
      </c>
      <c r="L20">
        <v>0.33</v>
      </c>
      <c r="M20">
        <v>0.33</v>
      </c>
      <c r="N20">
        <v>0.33</v>
      </c>
      <c r="O20">
        <v>0.33</v>
      </c>
      <c r="P20">
        <v>0.33</v>
      </c>
      <c r="Q20">
        <v>0.33</v>
      </c>
      <c r="R20">
        <v>0.33</v>
      </c>
      <c r="S20">
        <v>0.33</v>
      </c>
      <c r="T20" s="15">
        <v>0.33</v>
      </c>
      <c r="U20">
        <v>0.38469999999999999</v>
      </c>
      <c r="V20">
        <v>0.38469999999999999</v>
      </c>
      <c r="W20">
        <v>0.38469999999999999</v>
      </c>
      <c r="X20">
        <v>0.38469999999999999</v>
      </c>
      <c r="Y20">
        <v>0.38469999999999999</v>
      </c>
      <c r="Z20">
        <v>0.38469999999999999</v>
      </c>
      <c r="AA20">
        <v>0.38469999999999999</v>
      </c>
      <c r="AB20">
        <v>0.38469999999999999</v>
      </c>
      <c r="AC20">
        <v>0.38469999999999999</v>
      </c>
      <c r="AD20">
        <v>0.38469999999999999</v>
      </c>
      <c r="AE20">
        <v>0.38469999999999999</v>
      </c>
      <c r="AF20">
        <v>0.38469999999999999</v>
      </c>
      <c r="AG20">
        <v>0.38469999999999999</v>
      </c>
      <c r="AH20">
        <v>0.38469999999999999</v>
      </c>
      <c r="AI20">
        <v>0.38469999999999999</v>
      </c>
      <c r="AJ20">
        <v>0.38469999999999999</v>
      </c>
      <c r="AK20" s="15">
        <v>0.38469999999999999</v>
      </c>
      <c r="AL20">
        <v>4.7E-2</v>
      </c>
      <c r="AM20">
        <v>4.7E-2</v>
      </c>
      <c r="AN20">
        <v>4.7E-2</v>
      </c>
      <c r="AO20">
        <v>4.7E-2</v>
      </c>
      <c r="AP20">
        <v>4.7E-2</v>
      </c>
      <c r="AQ20">
        <v>4.7E-2</v>
      </c>
      <c r="AR20">
        <v>4.7E-2</v>
      </c>
      <c r="AS20">
        <v>4.7E-2</v>
      </c>
      <c r="AT20">
        <v>4.7E-2</v>
      </c>
      <c r="AU20">
        <v>4.7E-2</v>
      </c>
      <c r="AV20">
        <v>4.7E-2</v>
      </c>
      <c r="AW20">
        <v>4.7E-2</v>
      </c>
      <c r="AX20">
        <v>4.7E-2</v>
      </c>
      <c r="AY20">
        <v>4.7E-2</v>
      </c>
      <c r="AZ20">
        <v>4.7E-2</v>
      </c>
      <c r="BA20">
        <v>4.7E-2</v>
      </c>
      <c r="BB20">
        <v>4.7E-2</v>
      </c>
      <c r="BC20" s="24">
        <v>4.7E-2</v>
      </c>
      <c r="BD20" s="24">
        <v>4.7E-2</v>
      </c>
      <c r="BE20" s="24">
        <v>4.7E-2</v>
      </c>
      <c r="BF20" s="24">
        <v>4.7E-2</v>
      </c>
      <c r="BG20" s="24">
        <v>4.7E-2</v>
      </c>
      <c r="BH20" s="24">
        <v>4.7E-2</v>
      </c>
      <c r="BI20" s="24">
        <v>4.7E-2</v>
      </c>
      <c r="BJ20" s="24">
        <v>4.7E-2</v>
      </c>
      <c r="BK20" s="24">
        <v>4.7E-2</v>
      </c>
      <c r="BL20" s="24">
        <v>4.7E-2</v>
      </c>
      <c r="BM20" s="24">
        <v>4.7E-2</v>
      </c>
      <c r="BN20" s="24">
        <v>4.7E-2</v>
      </c>
      <c r="BO20" s="24">
        <v>4.7E-2</v>
      </c>
      <c r="BP20" s="24">
        <v>4.7E-2</v>
      </c>
      <c r="BQ20" s="24">
        <v>4.7E-2</v>
      </c>
      <c r="BR20" s="24">
        <v>4.7E-2</v>
      </c>
      <c r="BS20" s="24">
        <v>4.7E-2</v>
      </c>
    </row>
    <row r="21" spans="2:71">
      <c r="C21" s="15"/>
      <c r="T21" s="15"/>
      <c r="AK21" s="15"/>
    </row>
    <row r="22" spans="2:71">
      <c r="C22" s="15"/>
      <c r="T22" s="15"/>
      <c r="AK22" s="15"/>
    </row>
    <row r="23" spans="2:71">
      <c r="C23" s="15"/>
      <c r="T23" s="15"/>
      <c r="AK23" s="15"/>
    </row>
    <row r="24" spans="2:71">
      <c r="C24" s="15"/>
      <c r="D24" t="s">
        <v>317</v>
      </c>
      <c r="T24" s="15"/>
      <c r="AK24" s="15"/>
    </row>
    <row r="25" spans="2:71">
      <c r="C25" s="15"/>
      <c r="D25" t="s">
        <v>114</v>
      </c>
      <c r="T25" s="15"/>
      <c r="AK25" s="15"/>
    </row>
    <row r="26" spans="2:71">
      <c r="B26" t="s">
        <v>309</v>
      </c>
      <c r="C26" s="15" t="s">
        <v>310</v>
      </c>
      <c r="D26">
        <v>2020</v>
      </c>
      <c r="E26">
        <v>2025</v>
      </c>
      <c r="F26">
        <v>2030</v>
      </c>
      <c r="G26">
        <v>2035</v>
      </c>
      <c r="H26">
        <v>2040</v>
      </c>
      <c r="I26">
        <v>2045</v>
      </c>
      <c r="J26">
        <v>2050</v>
      </c>
      <c r="K26">
        <v>2055</v>
      </c>
      <c r="L26">
        <v>2060</v>
      </c>
      <c r="M26">
        <v>2065</v>
      </c>
      <c r="N26">
        <v>2070</v>
      </c>
      <c r="O26">
        <v>2075</v>
      </c>
      <c r="P26">
        <v>2080</v>
      </c>
      <c r="Q26">
        <v>2085</v>
      </c>
      <c r="R26">
        <v>2090</v>
      </c>
      <c r="S26">
        <v>2095</v>
      </c>
      <c r="T26" s="15">
        <v>2100</v>
      </c>
      <c r="U26">
        <v>2020</v>
      </c>
      <c r="V26">
        <v>2025</v>
      </c>
      <c r="W26">
        <v>2030</v>
      </c>
      <c r="X26">
        <v>2035</v>
      </c>
      <c r="Y26">
        <v>2040</v>
      </c>
      <c r="Z26">
        <v>2045</v>
      </c>
      <c r="AA26">
        <v>2050</v>
      </c>
      <c r="AB26">
        <v>2055</v>
      </c>
      <c r="AC26">
        <v>2060</v>
      </c>
      <c r="AD26">
        <v>2065</v>
      </c>
      <c r="AE26">
        <v>2070</v>
      </c>
      <c r="AF26">
        <v>2075</v>
      </c>
      <c r="AG26">
        <v>2080</v>
      </c>
      <c r="AH26">
        <v>2085</v>
      </c>
      <c r="AI26">
        <v>2090</v>
      </c>
      <c r="AJ26">
        <v>2095</v>
      </c>
      <c r="AK26" s="15">
        <v>2100</v>
      </c>
      <c r="AL26">
        <v>2020</v>
      </c>
      <c r="AM26">
        <v>2025</v>
      </c>
      <c r="AN26">
        <v>2030</v>
      </c>
      <c r="AO26">
        <v>2035</v>
      </c>
      <c r="AP26">
        <v>2040</v>
      </c>
      <c r="AQ26">
        <v>2045</v>
      </c>
      <c r="AR26">
        <v>2050</v>
      </c>
      <c r="AS26">
        <v>2055</v>
      </c>
      <c r="AT26">
        <v>2060</v>
      </c>
      <c r="AU26">
        <v>2065</v>
      </c>
      <c r="AV26">
        <v>2070</v>
      </c>
      <c r="AW26">
        <v>2075</v>
      </c>
      <c r="AX26">
        <v>2080</v>
      </c>
      <c r="AY26">
        <v>2085</v>
      </c>
      <c r="AZ26">
        <v>2090</v>
      </c>
      <c r="BA26">
        <v>2095</v>
      </c>
      <c r="BB26">
        <v>2100</v>
      </c>
      <c r="BC26">
        <v>2020</v>
      </c>
      <c r="BD26">
        <v>2025</v>
      </c>
      <c r="BE26">
        <v>2030</v>
      </c>
      <c r="BF26">
        <v>2035</v>
      </c>
      <c r="BG26">
        <v>2040</v>
      </c>
      <c r="BH26">
        <v>2045</v>
      </c>
      <c r="BI26">
        <v>2050</v>
      </c>
      <c r="BJ26">
        <v>2055</v>
      </c>
      <c r="BK26">
        <v>2060</v>
      </c>
      <c r="BL26">
        <v>2065</v>
      </c>
      <c r="BM26">
        <v>2070</v>
      </c>
      <c r="BN26">
        <v>2075</v>
      </c>
      <c r="BO26">
        <v>2080</v>
      </c>
      <c r="BP26">
        <v>2085</v>
      </c>
      <c r="BQ26">
        <v>2090</v>
      </c>
      <c r="BR26">
        <v>2095</v>
      </c>
      <c r="BS26">
        <v>2100</v>
      </c>
    </row>
    <row r="27" spans="2:71">
      <c r="B27">
        <v>1</v>
      </c>
      <c r="C27" s="15" t="s">
        <v>294</v>
      </c>
      <c r="D27">
        <f>D7*D$18*D$19*D$20</f>
        <v>14.488772202049585</v>
      </c>
      <c r="E27">
        <f t="shared" ref="E27:T27" si="2">E7*E$18*E$19*E$20</f>
        <v>13.306435365498734</v>
      </c>
      <c r="F27">
        <f t="shared" si="2"/>
        <v>12.095067991868886</v>
      </c>
      <c r="G27">
        <f t="shared" si="2"/>
        <v>10.921658059699419</v>
      </c>
      <c r="H27">
        <f t="shared" si="2"/>
        <v>9.8041111068548492</v>
      </c>
      <c r="I27">
        <f t="shared" si="2"/>
        <v>8.7681508996813537</v>
      </c>
      <c r="J27">
        <f t="shared" si="2"/>
        <v>7.8314605516843336</v>
      </c>
      <c r="K27">
        <f t="shared" si="2"/>
        <v>7.2729934861052667</v>
      </c>
      <c r="L27">
        <f t="shared" si="2"/>
        <v>6.8120341763605294</v>
      </c>
      <c r="M27">
        <f t="shared" si="2"/>
        <v>6.4382949162431986</v>
      </c>
      <c r="N27">
        <f t="shared" si="2"/>
        <v>6.1395312048328456</v>
      </c>
      <c r="O27">
        <f t="shared" si="2"/>
        <v>5.9012538609951637</v>
      </c>
      <c r="P27">
        <f t="shared" si="2"/>
        <v>5.71021596556887</v>
      </c>
      <c r="Q27">
        <f t="shared" si="2"/>
        <v>5.5554884940275961</v>
      </c>
      <c r="R27">
        <f t="shared" si="2"/>
        <v>5.4282492171412065</v>
      </c>
      <c r="S27">
        <f t="shared" si="2"/>
        <v>5.3205939047097868</v>
      </c>
      <c r="T27" s="15">
        <f t="shared" si="2"/>
        <v>5.2260431941420586</v>
      </c>
      <c r="U27">
        <f t="shared" ref="U27:AK27" si="3">U7*U$18*U$19*U$20</f>
        <v>30.086290851517049</v>
      </c>
      <c r="V27">
        <f t="shared" si="3"/>
        <v>28.021053430330131</v>
      </c>
      <c r="W27">
        <f t="shared" si="3"/>
        <v>25.493788383361249</v>
      </c>
      <c r="X27">
        <f t="shared" si="3"/>
        <v>23.557876528488677</v>
      </c>
      <c r="Y27">
        <f t="shared" si="3"/>
        <v>22.554527114051574</v>
      </c>
      <c r="Z27">
        <f t="shared" si="3"/>
        <v>21.946644495994988</v>
      </c>
      <c r="AA27">
        <f t="shared" si="3"/>
        <v>21.170970319378984</v>
      </c>
      <c r="AB27">
        <f t="shared" si="3"/>
        <v>20.329079172122299</v>
      </c>
      <c r="AC27">
        <f t="shared" si="3"/>
        <v>19.759243358864275</v>
      </c>
      <c r="AD27">
        <f t="shared" si="3"/>
        <v>19.444725710878583</v>
      </c>
      <c r="AE27">
        <f t="shared" si="3"/>
        <v>19.191737231943986</v>
      </c>
      <c r="AF27">
        <f t="shared" si="3"/>
        <v>18.951011327948404</v>
      </c>
      <c r="AG27">
        <f t="shared" si="3"/>
        <v>18.760468018154267</v>
      </c>
      <c r="AH27">
        <f t="shared" si="3"/>
        <v>18.621369831571826</v>
      </c>
      <c r="AI27">
        <f t="shared" si="3"/>
        <v>18.501262037522807</v>
      </c>
      <c r="AJ27">
        <f t="shared" si="3"/>
        <v>18.368857859341436</v>
      </c>
      <c r="AK27" s="15">
        <f t="shared" si="3"/>
        <v>18.209292977337462</v>
      </c>
      <c r="AL27">
        <f t="shared" ref="AL27:BB27" si="4">AL7*AL$18*AL$19*AL$20</f>
        <v>1.2384004216789228</v>
      </c>
      <c r="AM27">
        <f t="shared" si="4"/>
        <v>1.4428744241581801</v>
      </c>
      <c r="AN27">
        <f t="shared" si="4"/>
        <v>1.6437525949107954</v>
      </c>
      <c r="AO27">
        <f t="shared" si="4"/>
        <v>1.8371536750897439</v>
      </c>
      <c r="AP27">
        <f t="shared" si="4"/>
        <v>2.0172618934362174</v>
      </c>
      <c r="AQ27">
        <f t="shared" si="4"/>
        <v>2.179704836164809</v>
      </c>
      <c r="AR27">
        <f t="shared" si="4"/>
        <v>2.3208366003301304</v>
      </c>
      <c r="AS27">
        <f t="shared" si="4"/>
        <v>2.3854060551661331</v>
      </c>
      <c r="AT27">
        <f t="shared" si="4"/>
        <v>2.4303379125000881</v>
      </c>
      <c r="AU27">
        <f t="shared" si="4"/>
        <v>2.4592741744590896</v>
      </c>
      <c r="AV27">
        <f t="shared" si="4"/>
        <v>2.4768473728232601</v>
      </c>
      <c r="AW27">
        <f t="shared" si="4"/>
        <v>2.486364642620071</v>
      </c>
      <c r="AX27">
        <f t="shared" si="4"/>
        <v>2.4901207722585363</v>
      </c>
      <c r="AY27">
        <f t="shared" si="4"/>
        <v>2.4896577518243119</v>
      </c>
      <c r="AZ27">
        <f t="shared" si="4"/>
        <v>2.4858493327236406</v>
      </c>
      <c r="BA27">
        <f t="shared" si="4"/>
        <v>2.4788008994616484</v>
      </c>
      <c r="BB27">
        <f t="shared" si="4"/>
        <v>2.4683541786824006</v>
      </c>
    </row>
    <row r="28" spans="2:71">
      <c r="B28">
        <v>2</v>
      </c>
      <c r="C28" s="15" t="s">
        <v>291</v>
      </c>
      <c r="D28">
        <f t="shared" ref="D28:T28" si="5">D8*D$18*D$19*D$20</f>
        <v>5.9547809163495025</v>
      </c>
      <c r="E28">
        <f t="shared" si="5"/>
        <v>5.7888950837469597</v>
      </c>
      <c r="F28">
        <f t="shared" si="5"/>
        <v>5.5011341099735676</v>
      </c>
      <c r="G28">
        <f t="shared" si="5"/>
        <v>5.1308271044355847</v>
      </c>
      <c r="H28">
        <f t="shared" si="5"/>
        <v>4.695370192353284</v>
      </c>
      <c r="I28">
        <f t="shared" si="5"/>
        <v>4.2122050632977768</v>
      </c>
      <c r="J28">
        <f t="shared" si="5"/>
        <v>3.7251994301182614</v>
      </c>
      <c r="K28">
        <f t="shared" si="5"/>
        <v>3.3474831616736722</v>
      </c>
      <c r="L28">
        <f t="shared" si="5"/>
        <v>3.0508669727486351</v>
      </c>
      <c r="M28">
        <f t="shared" si="5"/>
        <v>2.8332421263557781</v>
      </c>
      <c r="N28">
        <f t="shared" si="5"/>
        <v>2.6784522467886864</v>
      </c>
      <c r="O28">
        <f t="shared" si="5"/>
        <v>2.5702952221369459</v>
      </c>
      <c r="P28">
        <f t="shared" si="5"/>
        <v>2.4958395680335475</v>
      </c>
      <c r="Q28">
        <f t="shared" si="5"/>
        <v>2.4447473381857643</v>
      </c>
      <c r="R28">
        <f t="shared" si="5"/>
        <v>2.4081061508185067</v>
      </c>
      <c r="S28">
        <f t="shared" si="5"/>
        <v>2.3778863867717517</v>
      </c>
      <c r="T28" s="15">
        <f t="shared" si="5"/>
        <v>2.3488776050241138</v>
      </c>
      <c r="U28">
        <f t="shared" ref="U28:AK28" si="6">U8*U$18*U$19*U$20</f>
        <v>12.368515555697256</v>
      </c>
      <c r="V28">
        <f t="shared" si="6"/>
        <v>12.486397060445995</v>
      </c>
      <c r="W28">
        <f t="shared" si="6"/>
        <v>11.297778923640069</v>
      </c>
      <c r="X28">
        <f t="shared" si="6"/>
        <v>9.7577682383627842</v>
      </c>
      <c r="Y28">
        <f t="shared" si="6"/>
        <v>8.7575838949047959</v>
      </c>
      <c r="Z28">
        <f t="shared" si="6"/>
        <v>8.270302360256947</v>
      </c>
      <c r="AA28">
        <f t="shared" si="6"/>
        <v>7.8030700963471347</v>
      </c>
      <c r="AB28">
        <f t="shared" si="6"/>
        <v>7.3460040923688856</v>
      </c>
      <c r="AC28">
        <f t="shared" si="6"/>
        <v>7.1382709371931057</v>
      </c>
      <c r="AD28">
        <f t="shared" si="6"/>
        <v>7.0775828272446306</v>
      </c>
      <c r="AE28">
        <f t="shared" si="6"/>
        <v>6.98888921197132</v>
      </c>
      <c r="AF28">
        <f t="shared" si="6"/>
        <v>6.901206379827511</v>
      </c>
      <c r="AG28">
        <f t="shared" si="6"/>
        <v>6.8809639819503836</v>
      </c>
      <c r="AH28">
        <f t="shared" si="6"/>
        <v>6.9149052186955444</v>
      </c>
      <c r="AI28">
        <f t="shared" si="6"/>
        <v>6.9553828403590687</v>
      </c>
      <c r="AJ28">
        <f t="shared" si="6"/>
        <v>6.9681097207203608</v>
      </c>
      <c r="AK28" s="15">
        <f t="shared" si="6"/>
        <v>6.9431261326281568</v>
      </c>
      <c r="AL28">
        <f t="shared" ref="AL28:BB28" si="7">AL8*AL$18*AL$19*AL$20</f>
        <v>1.3510690644529113</v>
      </c>
      <c r="AM28">
        <f t="shared" si="7"/>
        <v>1.2604694364396185</v>
      </c>
      <c r="AN28">
        <f t="shared" si="7"/>
        <v>1.1640047570892333</v>
      </c>
      <c r="AO28">
        <f t="shared" si="7"/>
        <v>1.0660163975713093</v>
      </c>
      <c r="AP28">
        <f t="shared" si="7"/>
        <v>0.96901051745010081</v>
      </c>
      <c r="AQ28">
        <f t="shared" si="7"/>
        <v>0.87212113014237058</v>
      </c>
      <c r="AR28">
        <f t="shared" si="7"/>
        <v>0.77229566058419274</v>
      </c>
      <c r="AS28">
        <f t="shared" si="7"/>
        <v>0.82201191530264683</v>
      </c>
      <c r="AT28">
        <f t="shared" si="7"/>
        <v>0.86373030727947087</v>
      </c>
      <c r="AU28">
        <f t="shared" si="7"/>
        <v>0.8973319998777991</v>
      </c>
      <c r="AV28">
        <f t="shared" si="7"/>
        <v>0.92391974473429062</v>
      </c>
      <c r="AW28">
        <f t="shared" si="7"/>
        <v>0.94552762194721707</v>
      </c>
      <c r="AX28">
        <f t="shared" si="7"/>
        <v>0.96401316860270825</v>
      </c>
      <c r="AY28">
        <f t="shared" si="7"/>
        <v>0.98026832795794372</v>
      </c>
      <c r="AZ28">
        <f t="shared" si="7"/>
        <v>0.99404679344477043</v>
      </c>
      <c r="BA28">
        <f t="shared" si="7"/>
        <v>1.0042514319399114</v>
      </c>
      <c r="BB28">
        <f t="shared" si="7"/>
        <v>1.0102115952093198</v>
      </c>
    </row>
    <row r="29" spans="2:71">
      <c r="B29">
        <v>3</v>
      </c>
      <c r="C29" s="15" t="s">
        <v>311</v>
      </c>
      <c r="D29">
        <f t="shared" ref="D29:T29" si="8">D9*D$18*D$19*D$20</f>
        <v>16.862464340884088</v>
      </c>
      <c r="E29">
        <f t="shared" si="8"/>
        <v>17.471375988076165</v>
      </c>
      <c r="F29">
        <f t="shared" si="8"/>
        <v>17.405966770016963</v>
      </c>
      <c r="G29">
        <f t="shared" si="8"/>
        <v>16.63170847456967</v>
      </c>
      <c r="H29">
        <f t="shared" si="8"/>
        <v>15.293231871202243</v>
      </c>
      <c r="I29">
        <f t="shared" si="8"/>
        <v>13.555384203387543</v>
      </c>
      <c r="J29">
        <f t="shared" si="8"/>
        <v>11.580045457692639</v>
      </c>
      <c r="K29">
        <f t="shared" si="8"/>
        <v>10.860194379932695</v>
      </c>
      <c r="L29">
        <f t="shared" si="8"/>
        <v>10.12720896956691</v>
      </c>
      <c r="M29">
        <f t="shared" si="8"/>
        <v>9.4147064692659921</v>
      </c>
      <c r="N29">
        <f t="shared" si="8"/>
        <v>8.768375979108491</v>
      </c>
      <c r="O29">
        <f t="shared" si="8"/>
        <v>8.2339604559553266</v>
      </c>
      <c r="P29">
        <f t="shared" si="8"/>
        <v>7.8300211664714494</v>
      </c>
      <c r="Q29">
        <f t="shared" si="8"/>
        <v>7.5431547346535819</v>
      </c>
      <c r="R29">
        <f t="shared" si="8"/>
        <v>7.3428645792024421</v>
      </c>
      <c r="S29">
        <f t="shared" si="8"/>
        <v>7.196300211181752</v>
      </c>
      <c r="T29" s="15">
        <f t="shared" si="8"/>
        <v>7.0778955526408325</v>
      </c>
      <c r="U29">
        <f t="shared" ref="U29:AK29" si="9">U9*U$18*U$19*U$20</f>
        <v>12.277236104888045</v>
      </c>
      <c r="V29">
        <f t="shared" si="9"/>
        <v>17.14403489446325</v>
      </c>
      <c r="W29">
        <f t="shared" si="9"/>
        <v>23.255159157905972</v>
      </c>
      <c r="X29">
        <f t="shared" si="9"/>
        <v>29.249647391027434</v>
      </c>
      <c r="Y29">
        <f t="shared" si="9"/>
        <v>32.826664498345274</v>
      </c>
      <c r="Z29">
        <f t="shared" si="9"/>
        <v>32.160856224748237</v>
      </c>
      <c r="AA29">
        <f t="shared" si="9"/>
        <v>28.098026707500143</v>
      </c>
      <c r="AB29">
        <f t="shared" si="9"/>
        <v>24.005867293083899</v>
      </c>
      <c r="AC29">
        <f t="shared" si="9"/>
        <v>22.640569045286885</v>
      </c>
      <c r="AD29">
        <f t="shared" si="9"/>
        <v>23.606279165700563</v>
      </c>
      <c r="AE29">
        <f t="shared" si="9"/>
        <v>24.479149245237569</v>
      </c>
      <c r="AF29">
        <f t="shared" si="9"/>
        <v>24.077533433621088</v>
      </c>
      <c r="AG29">
        <f t="shared" si="9"/>
        <v>23.450040007906274</v>
      </c>
      <c r="AH29">
        <f t="shared" si="9"/>
        <v>23.469419566309274</v>
      </c>
      <c r="AI29">
        <f t="shared" si="9"/>
        <v>23.779588272303812</v>
      </c>
      <c r="AJ29">
        <f t="shared" si="9"/>
        <v>24.057540237525618</v>
      </c>
      <c r="AK29" s="15">
        <f t="shared" si="9"/>
        <v>24.285724801664866</v>
      </c>
      <c r="AL29">
        <f t="shared" ref="AL29:BB29" si="10">AL9*AL$18*AL$19*AL$20</f>
        <v>0.92875701562575708</v>
      </c>
      <c r="AM29">
        <f t="shared" si="10"/>
        <v>0.95241172590673151</v>
      </c>
      <c r="AN29">
        <f t="shared" si="10"/>
        <v>0.97215074157775494</v>
      </c>
      <c r="AO29">
        <f t="shared" si="10"/>
        <v>0.98734466824876965</v>
      </c>
      <c r="AP29">
        <f t="shared" si="10"/>
        <v>1.0065377820690136</v>
      </c>
      <c r="AQ29">
        <f t="shared" si="10"/>
        <v>1.0302193999079385</v>
      </c>
      <c r="AR29">
        <f t="shared" si="10"/>
        <v>1.0540462334156748</v>
      </c>
      <c r="AS29">
        <f t="shared" si="10"/>
        <v>1.1833145933050815</v>
      </c>
      <c r="AT29">
        <f t="shared" si="10"/>
        <v>1.3041731643092187</v>
      </c>
      <c r="AU29">
        <f t="shared" si="10"/>
        <v>1.4127830880925067</v>
      </c>
      <c r="AV29">
        <f t="shared" si="10"/>
        <v>1.5076287978706082</v>
      </c>
      <c r="AW29">
        <f t="shared" si="10"/>
        <v>1.5893541321721463</v>
      </c>
      <c r="AX29">
        <f t="shared" si="10"/>
        <v>1.6597174117548432</v>
      </c>
      <c r="AY29">
        <f t="shared" si="10"/>
        <v>1.7202317753779952</v>
      </c>
      <c r="AZ29">
        <f t="shared" si="10"/>
        <v>1.7712329506686892</v>
      </c>
      <c r="BA29">
        <f t="shared" si="10"/>
        <v>1.8119520337218031</v>
      </c>
      <c r="BB29">
        <f t="shared" si="10"/>
        <v>1.8417865835475276</v>
      </c>
    </row>
    <row r="30" spans="2:71">
      <c r="B30">
        <v>4</v>
      </c>
      <c r="C30" s="15" t="s">
        <v>312</v>
      </c>
      <c r="D30">
        <f t="shared" ref="D30:T30" si="11">D10*D$18*D$19*D$20</f>
        <v>9.092132797756264</v>
      </c>
      <c r="E30">
        <f t="shared" si="11"/>
        <v>14.912897648027229</v>
      </c>
      <c r="F30">
        <f t="shared" si="11"/>
        <v>22.602696838698133</v>
      </c>
      <c r="G30">
        <f t="shared" si="11"/>
        <v>31.531977759812271</v>
      </c>
      <c r="H30">
        <f t="shared" si="11"/>
        <v>40.363919490758136</v>
      </c>
      <c r="I30">
        <f t="shared" si="11"/>
        <v>47.523679081780671</v>
      </c>
      <c r="J30">
        <f t="shared" si="11"/>
        <v>51.949840730625972</v>
      </c>
      <c r="K30">
        <f t="shared" si="11"/>
        <v>53.4128989400348</v>
      </c>
      <c r="L30">
        <f t="shared" si="11"/>
        <v>52.556700123710478</v>
      </c>
      <c r="M30">
        <f t="shared" si="11"/>
        <v>50.128159020773637</v>
      </c>
      <c r="N30">
        <f t="shared" si="11"/>
        <v>46.89112183156621</v>
      </c>
      <c r="O30">
        <f t="shared" si="11"/>
        <v>43.593255342126639</v>
      </c>
      <c r="P30">
        <f t="shared" si="11"/>
        <v>40.821946578638574</v>
      </c>
      <c r="Q30">
        <f t="shared" si="11"/>
        <v>38.85320003471552</v>
      </c>
      <c r="R30">
        <f t="shared" si="11"/>
        <v>37.678908250888384</v>
      </c>
      <c r="S30">
        <f t="shared" si="11"/>
        <v>37.128526220395067</v>
      </c>
      <c r="T30" s="15">
        <f t="shared" si="11"/>
        <v>37.00166863766772</v>
      </c>
      <c r="U30">
        <f t="shared" ref="U30:AK30" si="12">U10*U$18*U$19*U$20</f>
        <v>4.0478525467836057</v>
      </c>
      <c r="V30">
        <f t="shared" si="12"/>
        <v>6.7046368307228299</v>
      </c>
      <c r="W30">
        <f t="shared" si="12"/>
        <v>11.331815414509594</v>
      </c>
      <c r="X30">
        <f t="shared" si="12"/>
        <v>19.039250734546798</v>
      </c>
      <c r="Y30">
        <f t="shared" si="12"/>
        <v>30.616369067578411</v>
      </c>
      <c r="Z30">
        <f t="shared" si="12"/>
        <v>44.808616637420322</v>
      </c>
      <c r="AA30">
        <f t="shared" si="12"/>
        <v>56.507391200183477</v>
      </c>
      <c r="AB30">
        <f t="shared" si="12"/>
        <v>59.609746940850322</v>
      </c>
      <c r="AC30">
        <f t="shared" si="12"/>
        <v>54.007306415109582</v>
      </c>
      <c r="AD30">
        <f t="shared" si="12"/>
        <v>45.950174979775163</v>
      </c>
      <c r="AE30">
        <f t="shared" si="12"/>
        <v>42.328210973666032</v>
      </c>
      <c r="AF30">
        <f t="shared" si="12"/>
        <v>44.499568907692712</v>
      </c>
      <c r="AG30">
        <f t="shared" si="12"/>
        <v>47.765174468769338</v>
      </c>
      <c r="AH30">
        <f t="shared" si="12"/>
        <v>49.073635644874095</v>
      </c>
      <c r="AI30">
        <f t="shared" si="12"/>
        <v>49.864080689566137</v>
      </c>
      <c r="AJ30">
        <f t="shared" si="12"/>
        <v>51.554402146070608</v>
      </c>
      <c r="AK30" s="15">
        <f t="shared" si="12"/>
        <v>53.712064481284401</v>
      </c>
      <c r="AL30">
        <f t="shared" ref="AL30:BB30" si="13">AL10*AL$18*AL$19*AL$20</f>
        <v>0.26148036382971995</v>
      </c>
      <c r="AM30">
        <f t="shared" si="13"/>
        <v>0.34742502893677768</v>
      </c>
      <c r="AN30">
        <f t="shared" si="13"/>
        <v>0.47700637881679708</v>
      </c>
      <c r="AO30">
        <f t="shared" si="13"/>
        <v>0.66575324128831226</v>
      </c>
      <c r="AP30">
        <f t="shared" si="13"/>
        <v>0.92949392236941997</v>
      </c>
      <c r="AQ30">
        <f t="shared" si="13"/>
        <v>1.2812067451195228</v>
      </c>
      <c r="AR30">
        <f t="shared" si="13"/>
        <v>1.7266977052346475</v>
      </c>
      <c r="AS30">
        <f t="shared" si="13"/>
        <v>2.2670466204420832</v>
      </c>
      <c r="AT30">
        <f t="shared" si="13"/>
        <v>2.8787898794325697</v>
      </c>
      <c r="AU30">
        <f t="shared" si="13"/>
        <v>3.5354195558837476</v>
      </c>
      <c r="AV30">
        <f t="shared" si="13"/>
        <v>4.2050639991704646</v>
      </c>
      <c r="AW30">
        <f t="shared" si="13"/>
        <v>4.8580917717902254</v>
      </c>
      <c r="AX30">
        <f t="shared" si="13"/>
        <v>5.4707098064637742</v>
      </c>
      <c r="AY30">
        <f t="shared" si="13"/>
        <v>6.0275728458686597</v>
      </c>
      <c r="AZ30">
        <f t="shared" si="13"/>
        <v>6.5219282695289174</v>
      </c>
      <c r="BA30">
        <f t="shared" si="13"/>
        <v>6.953943527296766</v>
      </c>
      <c r="BB30">
        <f t="shared" si="13"/>
        <v>7.3268814378499743</v>
      </c>
    </row>
    <row r="31" spans="2:71">
      <c r="B31">
        <v>5</v>
      </c>
      <c r="C31" s="15" t="s">
        <v>313</v>
      </c>
      <c r="D31">
        <f t="shared" ref="D31:T31" si="14">D11*D$18*D$19*D$20</f>
        <v>28.144864807530414</v>
      </c>
      <c r="E31">
        <f t="shared" si="14"/>
        <v>39.239946612039923</v>
      </c>
      <c r="F31">
        <f t="shared" si="14"/>
        <v>48.506258469436567</v>
      </c>
      <c r="G31">
        <f t="shared" si="14"/>
        <v>54.285719813835357</v>
      </c>
      <c r="H31">
        <f t="shared" si="14"/>
        <v>55.871451934146172</v>
      </c>
      <c r="I31">
        <f t="shared" si="14"/>
        <v>53.781910761720191</v>
      </c>
      <c r="J31">
        <f t="shared" si="14"/>
        <v>49.354147701836986</v>
      </c>
      <c r="K31">
        <f t="shared" si="14"/>
        <v>43.290009618051528</v>
      </c>
      <c r="L31">
        <f t="shared" si="14"/>
        <v>37.546423388847536</v>
      </c>
      <c r="M31">
        <f t="shared" si="14"/>
        <v>32.743023536484188</v>
      </c>
      <c r="N31">
        <f t="shared" si="14"/>
        <v>29.011721469436662</v>
      </c>
      <c r="O31">
        <f t="shared" si="14"/>
        <v>26.21820868735961</v>
      </c>
      <c r="P31">
        <f t="shared" si="14"/>
        <v>24.141757657943998</v>
      </c>
      <c r="Q31">
        <f t="shared" si="14"/>
        <v>22.570873675724314</v>
      </c>
      <c r="R31">
        <f t="shared" si="14"/>
        <v>21.34713533642757</v>
      </c>
      <c r="S31">
        <f t="shared" si="14"/>
        <v>20.354297273371099</v>
      </c>
      <c r="T31" s="15">
        <f t="shared" si="14"/>
        <v>19.518900702433591</v>
      </c>
      <c r="U31">
        <f t="shared" ref="U31:AK31" si="15">U11*U$18*U$19*U$20</f>
        <v>13.369013900431611</v>
      </c>
      <c r="V31">
        <f t="shared" si="15"/>
        <v>26.814864309927248</v>
      </c>
      <c r="W31">
        <f t="shared" si="15"/>
        <v>49.098307515416849</v>
      </c>
      <c r="X31">
        <f t="shared" si="15"/>
        <v>80.202593572884879</v>
      </c>
      <c r="Y31">
        <f t="shared" si="15"/>
        <v>113.29141015279556</v>
      </c>
      <c r="Z31">
        <f t="shared" si="15"/>
        <v>134.09590755758362</v>
      </c>
      <c r="AA31">
        <f t="shared" si="15"/>
        <v>130.25214455230858</v>
      </c>
      <c r="AB31">
        <f t="shared" si="15"/>
        <v>105.52702467612389</v>
      </c>
      <c r="AC31">
        <f t="shared" si="15"/>
        <v>79.401192337155521</v>
      </c>
      <c r="AD31">
        <f t="shared" si="15"/>
        <v>67.404037974253356</v>
      </c>
      <c r="AE31">
        <f t="shared" si="15"/>
        <v>67.618431367052352</v>
      </c>
      <c r="AF31">
        <f t="shared" si="15"/>
        <v>69.591509243044442</v>
      </c>
      <c r="AG31">
        <f t="shared" si="15"/>
        <v>68.470599564038721</v>
      </c>
      <c r="AH31">
        <f t="shared" si="15"/>
        <v>66.039780240845673</v>
      </c>
      <c r="AI31">
        <f t="shared" si="15"/>
        <v>64.434761310983689</v>
      </c>
      <c r="AJ31">
        <f t="shared" si="15"/>
        <v>63.704703336468725</v>
      </c>
      <c r="AK31" s="15">
        <f t="shared" si="15"/>
        <v>63.120621971035895</v>
      </c>
      <c r="AL31">
        <f t="shared" ref="AL31:BB31" si="16">AL11*AL$18*AL$19*AL$20</f>
        <v>0.71444852717997442</v>
      </c>
      <c r="AM31">
        <f t="shared" si="16"/>
        <v>1.0918075494832946</v>
      </c>
      <c r="AN31">
        <f t="shared" si="16"/>
        <v>1.5738976250464505</v>
      </c>
      <c r="AO31">
        <f t="shared" si="16"/>
        <v>2.1546624745082803</v>
      </c>
      <c r="AP31">
        <f t="shared" si="16"/>
        <v>2.8112267710868646</v>
      </c>
      <c r="AQ31">
        <f t="shared" si="16"/>
        <v>3.5095506731445947</v>
      </c>
      <c r="AR31">
        <f t="shared" si="16"/>
        <v>4.2110420385242913</v>
      </c>
      <c r="AS31">
        <f t="shared" si="16"/>
        <v>4.8637212206813363</v>
      </c>
      <c r="AT31">
        <f t="shared" si="16"/>
        <v>5.444019320899451</v>
      </c>
      <c r="AU31">
        <f t="shared" si="16"/>
        <v>5.926323567666663</v>
      </c>
      <c r="AV31">
        <f t="shared" si="16"/>
        <v>6.2974963066590384</v>
      </c>
      <c r="AW31">
        <f t="shared" si="16"/>
        <v>6.5591815810226946</v>
      </c>
      <c r="AX31">
        <f t="shared" si="16"/>
        <v>6.7242201432982363</v>
      </c>
      <c r="AY31">
        <f t="shared" si="16"/>
        <v>6.8090296274202613</v>
      </c>
      <c r="AZ31">
        <f t="shared" si="16"/>
        <v>6.8314445951290281</v>
      </c>
      <c r="BA31">
        <f t="shared" si="16"/>
        <v>6.8050648023528089</v>
      </c>
      <c r="BB31">
        <f t="shared" si="16"/>
        <v>6.7426726379446116</v>
      </c>
    </row>
    <row r="32" spans="2:71">
      <c r="B32">
        <v>6</v>
      </c>
      <c r="C32" s="15" t="s">
        <v>295</v>
      </c>
      <c r="D32">
        <f t="shared" ref="D32:T32" si="17">D12*D$18*D$19*D$20</f>
        <v>57.741469740911143</v>
      </c>
      <c r="E32">
        <f t="shared" si="17"/>
        <v>53.548920070791176</v>
      </c>
      <c r="F32">
        <f t="shared" si="17"/>
        <v>46.280109148624931</v>
      </c>
      <c r="G32">
        <f t="shared" si="17"/>
        <v>38.3351279485384</v>
      </c>
      <c r="H32">
        <f t="shared" si="17"/>
        <v>31.074023571788533</v>
      </c>
      <c r="I32">
        <f t="shared" si="17"/>
        <v>24.930414694402295</v>
      </c>
      <c r="J32">
        <f t="shared" si="17"/>
        <v>19.813318155463161</v>
      </c>
      <c r="K32">
        <f t="shared" si="17"/>
        <v>17.858457945837948</v>
      </c>
      <c r="L32">
        <f t="shared" si="17"/>
        <v>16.337661979158714</v>
      </c>
      <c r="M32">
        <f t="shared" si="17"/>
        <v>15.106369052724318</v>
      </c>
      <c r="N32">
        <f t="shared" si="17"/>
        <v>14.094792036098257</v>
      </c>
      <c r="O32">
        <f t="shared" si="17"/>
        <v>13.261006424049075</v>
      </c>
      <c r="P32">
        <f t="shared" si="17"/>
        <v>12.57136533769812</v>
      </c>
      <c r="Q32">
        <f t="shared" si="17"/>
        <v>11.998566640650568</v>
      </c>
      <c r="R32">
        <f t="shared" si="17"/>
        <v>11.523269378452129</v>
      </c>
      <c r="S32">
        <f t="shared" si="17"/>
        <v>11.124428568213709</v>
      </c>
      <c r="T32" s="15">
        <f t="shared" si="17"/>
        <v>10.771719374340137</v>
      </c>
      <c r="U32">
        <f t="shared" ref="U32:AK32" si="18">U12*U$18*U$19*U$20</f>
        <v>68.929081550514738</v>
      </c>
      <c r="V32">
        <f t="shared" si="18"/>
        <v>95.636616779624688</v>
      </c>
      <c r="W32">
        <f t="shared" si="18"/>
        <v>101.97318815784655</v>
      </c>
      <c r="X32">
        <f t="shared" si="18"/>
        <v>82.421411723959991</v>
      </c>
      <c r="Y32">
        <f t="shared" si="18"/>
        <v>57.808775037280924</v>
      </c>
      <c r="Z32">
        <f t="shared" si="18"/>
        <v>47.794156146980235</v>
      </c>
      <c r="AA32">
        <f t="shared" si="18"/>
        <v>48.611185708014098</v>
      </c>
      <c r="AB32">
        <f t="shared" si="18"/>
        <v>49.289938115287036</v>
      </c>
      <c r="AC32">
        <f t="shared" si="18"/>
        <v>47.334293616233388</v>
      </c>
      <c r="AD32">
        <f t="shared" si="18"/>
        <v>45.01037115065207</v>
      </c>
      <c r="AE32">
        <f t="shared" si="18"/>
        <v>43.520007744681045</v>
      </c>
      <c r="AF32">
        <f t="shared" si="18"/>
        <v>42.6006351988459</v>
      </c>
      <c r="AG32">
        <f t="shared" si="18"/>
        <v>41.771285604454448</v>
      </c>
      <c r="AH32">
        <f t="shared" si="18"/>
        <v>40.839146987984975</v>
      </c>
      <c r="AI32">
        <f t="shared" si="18"/>
        <v>39.832434014035378</v>
      </c>
      <c r="AJ32">
        <f t="shared" si="18"/>
        <v>38.818308146283492</v>
      </c>
      <c r="AK32" s="15">
        <f t="shared" si="18"/>
        <v>37.801493820578308</v>
      </c>
      <c r="AL32">
        <f t="shared" ref="AL32:BB32" si="19">AL12*AL$18*AL$19*AL$20</f>
        <v>6.2973580530402389</v>
      </c>
      <c r="AM32">
        <f t="shared" si="19"/>
        <v>6.4617766901251157</v>
      </c>
      <c r="AN32">
        <f t="shared" si="19"/>
        <v>6.586649457649786</v>
      </c>
      <c r="AO32">
        <f t="shared" si="19"/>
        <v>6.6366636217196699</v>
      </c>
      <c r="AP32">
        <f t="shared" si="19"/>
        <v>6.5784655285915479</v>
      </c>
      <c r="AQ32">
        <f t="shared" si="19"/>
        <v>6.3976928541291702</v>
      </c>
      <c r="AR32">
        <f t="shared" si="19"/>
        <v>6.0957461598242251</v>
      </c>
      <c r="AS32">
        <f t="shared" si="19"/>
        <v>6.2959039488723318</v>
      </c>
      <c r="AT32">
        <f t="shared" si="19"/>
        <v>6.3888559834525172</v>
      </c>
      <c r="AU32">
        <f t="shared" si="19"/>
        <v>6.4026116808613143</v>
      </c>
      <c r="AV32">
        <f t="shared" si="19"/>
        <v>6.362214614807348</v>
      </c>
      <c r="AW32">
        <f t="shared" si="19"/>
        <v>6.2841203543164319</v>
      </c>
      <c r="AX32">
        <f t="shared" si="19"/>
        <v>6.1806477820060772</v>
      </c>
      <c r="AY32">
        <f t="shared" si="19"/>
        <v>6.0637844444441322</v>
      </c>
      <c r="AZ32">
        <f t="shared" si="19"/>
        <v>5.9449505929008559</v>
      </c>
      <c r="BA32">
        <f t="shared" si="19"/>
        <v>5.8294175531440278</v>
      </c>
      <c r="BB32">
        <f t="shared" si="19"/>
        <v>5.7122756254239402</v>
      </c>
    </row>
    <row r="33" spans="2:54">
      <c r="B33">
        <v>7</v>
      </c>
      <c r="C33" s="15" t="s">
        <v>314</v>
      </c>
      <c r="D33">
        <f t="shared" ref="D33:T33" si="20">D13*D$18*D$19*D$20</f>
        <v>15.133205413871774</v>
      </c>
      <c r="E33">
        <f t="shared" si="20"/>
        <v>17.483997508698049</v>
      </c>
      <c r="F33">
        <f t="shared" si="20"/>
        <v>18.779395160530772</v>
      </c>
      <c r="G33">
        <f t="shared" si="20"/>
        <v>18.829939488579583</v>
      </c>
      <c r="H33">
        <f t="shared" si="20"/>
        <v>17.838990159623794</v>
      </c>
      <c r="I33">
        <f t="shared" si="20"/>
        <v>16.265141236284723</v>
      </c>
      <c r="J33">
        <f t="shared" si="20"/>
        <v>14.578792331340532</v>
      </c>
      <c r="K33">
        <f t="shared" si="20"/>
        <v>12.839767975142605</v>
      </c>
      <c r="L33">
        <f t="shared" si="20"/>
        <v>11.429430200321102</v>
      </c>
      <c r="M33">
        <f t="shared" si="20"/>
        <v>10.351362599984325</v>
      </c>
      <c r="N33">
        <f t="shared" si="20"/>
        <v>9.5483171069354587</v>
      </c>
      <c r="O33">
        <f t="shared" si="20"/>
        <v>8.9523674257677772</v>
      </c>
      <c r="P33">
        <f t="shared" si="20"/>
        <v>8.503684240390605</v>
      </c>
      <c r="Q33">
        <f t="shared" si="20"/>
        <v>8.1555124442788891</v>
      </c>
      <c r="R33">
        <f t="shared" si="20"/>
        <v>7.8752763714464571</v>
      </c>
      <c r="S33">
        <f t="shared" si="20"/>
        <v>7.6407941719518071</v>
      </c>
      <c r="T33" s="15">
        <f t="shared" si="20"/>
        <v>7.4372384593933747</v>
      </c>
      <c r="U33">
        <f t="shared" ref="U33:AK33" si="21">U13*U$18*U$19*U$20</f>
        <v>15.94464840085633</v>
      </c>
      <c r="V33">
        <f t="shared" si="21"/>
        <v>23.127325999174715</v>
      </c>
      <c r="W33">
        <f t="shared" si="21"/>
        <v>31.765418988011934</v>
      </c>
      <c r="X33">
        <f t="shared" si="21"/>
        <v>39.690979252307251</v>
      </c>
      <c r="Y33">
        <f t="shared" si="21"/>
        <v>43.118273951951331</v>
      </c>
      <c r="Z33">
        <f t="shared" si="21"/>
        <v>39.41130340626313</v>
      </c>
      <c r="AA33">
        <f t="shared" si="21"/>
        <v>31.13111541019828</v>
      </c>
      <c r="AB33">
        <f t="shared" si="21"/>
        <v>24.662840063811458</v>
      </c>
      <c r="AC33">
        <f t="shared" si="21"/>
        <v>23.072407047978313</v>
      </c>
      <c r="AD33">
        <f t="shared" si="21"/>
        <v>23.911333843928375</v>
      </c>
      <c r="AE33">
        <f t="shared" si="21"/>
        <v>24.336132833108401</v>
      </c>
      <c r="AF33">
        <f t="shared" si="21"/>
        <v>24.01642292700042</v>
      </c>
      <c r="AG33">
        <f t="shared" si="21"/>
        <v>23.606080427196634</v>
      </c>
      <c r="AH33">
        <f t="shared" si="21"/>
        <v>23.408535495898509</v>
      </c>
      <c r="AI33">
        <f t="shared" si="21"/>
        <v>23.354125835499421</v>
      </c>
      <c r="AJ33">
        <f t="shared" si="21"/>
        <v>23.29240618029278</v>
      </c>
      <c r="AK33" s="15">
        <f t="shared" si="21"/>
        <v>23.140261350522575</v>
      </c>
      <c r="AL33">
        <f t="shared" ref="AL33:BB33" si="22">AL13*AL$18*AL$19*AL$20</f>
        <v>0.73557815490207445</v>
      </c>
      <c r="AM33">
        <f t="shared" si="22"/>
        <v>0.86175939331020401</v>
      </c>
      <c r="AN33">
        <f t="shared" si="22"/>
        <v>1.009826098691504</v>
      </c>
      <c r="AO33">
        <f t="shared" si="22"/>
        <v>1.1750627145495698</v>
      </c>
      <c r="AP33">
        <f t="shared" si="22"/>
        <v>1.3500685164408157</v>
      </c>
      <c r="AQ33">
        <f t="shared" si="22"/>
        <v>1.5257951288507838</v>
      </c>
      <c r="AR33">
        <f t="shared" si="22"/>
        <v>1.6914999771690975</v>
      </c>
      <c r="AS33">
        <f t="shared" si="22"/>
        <v>1.8822410482934346</v>
      </c>
      <c r="AT33">
        <f t="shared" si="22"/>
        <v>2.0485141529847524</v>
      </c>
      <c r="AU33">
        <f t="shared" si="22"/>
        <v>2.1866730712908669</v>
      </c>
      <c r="AV33">
        <f t="shared" si="22"/>
        <v>2.2965572308975806</v>
      </c>
      <c r="AW33">
        <f t="shared" si="22"/>
        <v>2.3806228101564542</v>
      </c>
      <c r="AX33">
        <f t="shared" si="22"/>
        <v>2.4422667381323837</v>
      </c>
      <c r="AY33">
        <f t="shared" si="22"/>
        <v>2.4846615203791398</v>
      </c>
      <c r="AZ33">
        <f t="shared" si="22"/>
        <v>2.5108886136433286</v>
      </c>
      <c r="BA33">
        <f t="shared" si="22"/>
        <v>2.5237628974736652</v>
      </c>
      <c r="BB33">
        <f t="shared" si="22"/>
        <v>2.525549325528766</v>
      </c>
    </row>
    <row r="34" spans="2:54">
      <c r="B34">
        <v>8</v>
      </c>
      <c r="C34" s="15" t="s">
        <v>290</v>
      </c>
      <c r="D34">
        <f t="shared" ref="D34:T34" si="23">D14*D$18*D$19*D$20</f>
        <v>7.2145760411995266</v>
      </c>
      <c r="E34">
        <f t="shared" si="23"/>
        <v>7.2457115844843747</v>
      </c>
      <c r="F34">
        <f t="shared" si="23"/>
        <v>7.2507972507351655</v>
      </c>
      <c r="G34">
        <f t="shared" si="23"/>
        <v>7.212435965716649</v>
      </c>
      <c r="H34">
        <f t="shared" si="23"/>
        <v>7.1199765619393256</v>
      </c>
      <c r="I34">
        <f t="shared" si="23"/>
        <v>6.9976525792562771</v>
      </c>
      <c r="J34">
        <f t="shared" si="23"/>
        <v>6.8810571519639279</v>
      </c>
      <c r="K34">
        <f t="shared" si="23"/>
        <v>6.5819058534374477</v>
      </c>
      <c r="L34">
        <f t="shared" si="23"/>
        <v>6.3356509070355438</v>
      </c>
      <c r="M34">
        <f t="shared" si="23"/>
        <v>6.1465201630245838</v>
      </c>
      <c r="N34">
        <f t="shared" si="23"/>
        <v>6.006298997692908</v>
      </c>
      <c r="O34">
        <f t="shared" si="23"/>
        <v>5.9021026382244148</v>
      </c>
      <c r="P34">
        <f t="shared" si="23"/>
        <v>5.8234873617957383</v>
      </c>
      <c r="Q34">
        <f t="shared" si="23"/>
        <v>5.7636444976014873</v>
      </c>
      <c r="R34">
        <f t="shared" si="23"/>
        <v>5.7190983284498813</v>
      </c>
      <c r="S34">
        <f t="shared" si="23"/>
        <v>5.6885720724655506</v>
      </c>
      <c r="T34" s="15">
        <f t="shared" si="23"/>
        <v>5.6699610379304133</v>
      </c>
      <c r="U34">
        <f t="shared" ref="U34:AK34" si="24">U14*U$18*U$19*U$20</f>
        <v>17.650454934848526</v>
      </c>
      <c r="V34">
        <f t="shared" si="24"/>
        <v>19.507383030675818</v>
      </c>
      <c r="W34">
        <f t="shared" si="24"/>
        <v>21.283290489361661</v>
      </c>
      <c r="X34">
        <f t="shared" si="24"/>
        <v>22.389116166830835</v>
      </c>
      <c r="Y34">
        <f t="shared" si="24"/>
        <v>22.381891073414931</v>
      </c>
      <c r="Z34">
        <f t="shared" si="24"/>
        <v>21.262089824884715</v>
      </c>
      <c r="AA34">
        <f t="shared" si="24"/>
        <v>19.640226326823111</v>
      </c>
      <c r="AB34">
        <f t="shared" si="24"/>
        <v>18.462133044022039</v>
      </c>
      <c r="AC34">
        <f t="shared" si="24"/>
        <v>18.25536665917981</v>
      </c>
      <c r="AD34">
        <f t="shared" si="24"/>
        <v>18.728507929926703</v>
      </c>
      <c r="AE34">
        <f t="shared" si="24"/>
        <v>19.260983179599155</v>
      </c>
      <c r="AF34">
        <f t="shared" si="24"/>
        <v>19.547280994815971</v>
      </c>
      <c r="AG34">
        <f t="shared" si="24"/>
        <v>19.65959948935922</v>
      </c>
      <c r="AH34">
        <f t="shared" si="24"/>
        <v>19.747809484418983</v>
      </c>
      <c r="AI34">
        <f t="shared" si="24"/>
        <v>19.86876335841777</v>
      </c>
      <c r="AJ34">
        <f t="shared" si="24"/>
        <v>20.00876554946899</v>
      </c>
      <c r="AK34" s="15">
        <f t="shared" si="24"/>
        <v>20.13970483564399</v>
      </c>
      <c r="AL34">
        <f t="shared" ref="AL34:BB34" si="25">AL14*AL$18*AL$19*AL$20</f>
        <v>1.7324341731284729</v>
      </c>
      <c r="AM34">
        <f t="shared" si="25"/>
        <v>1.7952646559044649</v>
      </c>
      <c r="AN34">
        <f t="shared" si="25"/>
        <v>1.8434922327200738</v>
      </c>
      <c r="AO34">
        <f t="shared" si="25"/>
        <v>1.8772320612187992</v>
      </c>
      <c r="AP34">
        <f t="shared" si="25"/>
        <v>1.8933132931335248</v>
      </c>
      <c r="AQ34">
        <f t="shared" si="25"/>
        <v>1.893142995836534</v>
      </c>
      <c r="AR34">
        <f t="shared" si="25"/>
        <v>1.8795210862051848</v>
      </c>
      <c r="AS34">
        <f t="shared" si="25"/>
        <v>1.9403833413489726</v>
      </c>
      <c r="AT34">
        <f t="shared" si="25"/>
        <v>1.9989014254517519</v>
      </c>
      <c r="AU34">
        <f t="shared" si="25"/>
        <v>2.0556468071361054</v>
      </c>
      <c r="AV34">
        <f t="shared" si="25"/>
        <v>2.1094774045285898</v>
      </c>
      <c r="AW34">
        <f t="shared" si="25"/>
        <v>2.1586629252497449</v>
      </c>
      <c r="AX34">
        <f t="shared" si="25"/>
        <v>2.2028104175134189</v>
      </c>
      <c r="AY34">
        <f t="shared" si="25"/>
        <v>2.2429434939065103</v>
      </c>
      <c r="AZ34">
        <f t="shared" si="25"/>
        <v>2.2806735105675395</v>
      </c>
      <c r="BA34">
        <f t="shared" si="25"/>
        <v>2.3178259893512965</v>
      </c>
      <c r="BB34">
        <f t="shared" si="25"/>
        <v>2.3550210714340785</v>
      </c>
    </row>
    <row r="35" spans="2:54">
      <c r="B35">
        <v>9</v>
      </c>
      <c r="C35" s="15" t="s">
        <v>315</v>
      </c>
      <c r="D35">
        <f t="shared" ref="D35:T35" si="26">D15*D$18*D$19*D$20</f>
        <v>9.0407970199811523</v>
      </c>
      <c r="E35">
        <f t="shared" si="26"/>
        <v>10.035394676311828</v>
      </c>
      <c r="F35">
        <f t="shared" si="26"/>
        <v>10.634688876044807</v>
      </c>
      <c r="G35">
        <f t="shared" si="26"/>
        <v>10.79763093683556</v>
      </c>
      <c r="H35">
        <f t="shared" si="26"/>
        <v>10.599367352954213</v>
      </c>
      <c r="I35">
        <f t="shared" si="26"/>
        <v>10.1836671302146</v>
      </c>
      <c r="J35">
        <f t="shared" si="26"/>
        <v>9.7107446574435077</v>
      </c>
      <c r="K35">
        <f t="shared" si="26"/>
        <v>8.6462730450623937</v>
      </c>
      <c r="L35">
        <f t="shared" si="26"/>
        <v>7.7230620753495716</v>
      </c>
      <c r="M35">
        <f t="shared" si="26"/>
        <v>6.9664513714438181</v>
      </c>
      <c r="N35">
        <f t="shared" si="26"/>
        <v>6.3656775483773815</v>
      </c>
      <c r="O35">
        <f t="shared" si="26"/>
        <v>5.8933395978511154</v>
      </c>
      <c r="P35">
        <f t="shared" si="26"/>
        <v>5.5191278479324177</v>
      </c>
      <c r="Q35">
        <f t="shared" si="26"/>
        <v>5.2178459968099302</v>
      </c>
      <c r="R35">
        <f t="shared" si="26"/>
        <v>4.9697481945943487</v>
      </c>
      <c r="S35">
        <f t="shared" si="26"/>
        <v>4.7602688196477336</v>
      </c>
      <c r="T35" s="15">
        <f t="shared" si="26"/>
        <v>4.5793514187414388</v>
      </c>
      <c r="U35">
        <f t="shared" ref="U35:AK35" si="27">U15*U$18*U$19*U$20</f>
        <v>18.398732465613538</v>
      </c>
      <c r="V35">
        <f t="shared" si="27"/>
        <v>23.343888584236872</v>
      </c>
      <c r="W35">
        <f t="shared" si="27"/>
        <v>28.129922433033805</v>
      </c>
      <c r="X35">
        <f t="shared" si="27"/>
        <v>31.382267937629319</v>
      </c>
      <c r="Y35">
        <f t="shared" si="27"/>
        <v>31.681870156164809</v>
      </c>
      <c r="Z35">
        <f t="shared" si="27"/>
        <v>28.720888275457902</v>
      </c>
      <c r="AA35">
        <f t="shared" si="27"/>
        <v>24.02546843006418</v>
      </c>
      <c r="AB35">
        <f t="shared" si="27"/>
        <v>19.973429194394662</v>
      </c>
      <c r="AC35">
        <f t="shared" si="27"/>
        <v>17.908481958405318</v>
      </c>
      <c r="AD35">
        <f t="shared" si="27"/>
        <v>17.468682005239863</v>
      </c>
      <c r="AE35">
        <f t="shared" si="27"/>
        <v>17.544502567033327</v>
      </c>
      <c r="AF35">
        <f t="shared" si="27"/>
        <v>17.39213660681559</v>
      </c>
      <c r="AG35">
        <f t="shared" si="27"/>
        <v>16.953951399509123</v>
      </c>
      <c r="AH35">
        <f t="shared" si="27"/>
        <v>16.499215625443021</v>
      </c>
      <c r="AI35">
        <f t="shared" si="27"/>
        <v>16.184800803904423</v>
      </c>
      <c r="AJ35">
        <f t="shared" si="27"/>
        <v>15.97231831446366</v>
      </c>
      <c r="AK35" s="15">
        <f t="shared" si="27"/>
        <v>15.765625040524544</v>
      </c>
      <c r="AL35">
        <f t="shared" ref="AL35:BB35" si="28">AL15*AL$18*AL$19*AL$20</f>
        <v>0.62172403562284917</v>
      </c>
      <c r="AM35">
        <f t="shared" si="28"/>
        <v>0.67962689303762225</v>
      </c>
      <c r="AN35">
        <f t="shared" si="28"/>
        <v>0.74194651533874467</v>
      </c>
      <c r="AO35">
        <f t="shared" si="28"/>
        <v>0.80760706509920432</v>
      </c>
      <c r="AP35">
        <f t="shared" si="28"/>
        <v>0.87574655754085229</v>
      </c>
      <c r="AQ35">
        <f t="shared" si="28"/>
        <v>0.94218497608246476</v>
      </c>
      <c r="AR35">
        <f t="shared" si="28"/>
        <v>1.0023300733724971</v>
      </c>
      <c r="AS35">
        <f t="shared" si="28"/>
        <v>1.0953230022969169</v>
      </c>
      <c r="AT35">
        <f t="shared" si="28"/>
        <v>1.1741188706784751</v>
      </c>
      <c r="AU35">
        <f t="shared" si="28"/>
        <v>1.2362499821229109</v>
      </c>
      <c r="AV35">
        <f t="shared" si="28"/>
        <v>1.2810247558416192</v>
      </c>
      <c r="AW35">
        <f t="shared" si="28"/>
        <v>1.3094664925609294</v>
      </c>
      <c r="AX35">
        <f t="shared" si="28"/>
        <v>1.3236490070317057</v>
      </c>
      <c r="AY35">
        <f t="shared" si="28"/>
        <v>1.32656142151402</v>
      </c>
      <c r="AZ35">
        <f t="shared" si="28"/>
        <v>1.3208004311489043</v>
      </c>
      <c r="BA35">
        <f t="shared" si="28"/>
        <v>1.3086079025210668</v>
      </c>
      <c r="BB35">
        <f t="shared" si="28"/>
        <v>1.2918399567683918</v>
      </c>
    </row>
    <row r="36" spans="2:54">
      <c r="C36" s="14" t="s">
        <v>240</v>
      </c>
      <c r="D36" s="4">
        <f>SUM(D27:D35)</f>
        <v>163.67306328053343</v>
      </c>
      <c r="E36" s="4">
        <f t="shared" ref="E36:BB36" si="29">SUM(E27:E35)</f>
        <v>179.03357453767444</v>
      </c>
      <c r="F36" s="4">
        <f t="shared" si="29"/>
        <v>189.05611461592977</v>
      </c>
      <c r="G36" s="4">
        <f t="shared" si="29"/>
        <v>193.67702555202249</v>
      </c>
      <c r="H36" s="4">
        <f t="shared" si="29"/>
        <v>192.66044224162053</v>
      </c>
      <c r="I36" s="4">
        <f t="shared" si="29"/>
        <v>186.21820565002542</v>
      </c>
      <c r="J36" s="4">
        <f t="shared" si="29"/>
        <v>175.4246061681693</v>
      </c>
      <c r="K36" s="4">
        <f t="shared" si="29"/>
        <v>164.10998440527834</v>
      </c>
      <c r="L36" s="4">
        <f t="shared" si="29"/>
        <v>151.91903879309902</v>
      </c>
      <c r="M36" s="4">
        <f t="shared" si="29"/>
        <v>140.12812925629984</v>
      </c>
      <c r="N36" s="4">
        <f t="shared" si="29"/>
        <v>129.5042884208369</v>
      </c>
      <c r="O36" s="4">
        <f t="shared" si="29"/>
        <v>120.52578965446607</v>
      </c>
      <c r="P36" s="4">
        <f t="shared" si="29"/>
        <v>113.41744572447334</v>
      </c>
      <c r="Q36" s="4">
        <f t="shared" si="29"/>
        <v>108.10303385664764</v>
      </c>
      <c r="R36" s="4">
        <f t="shared" si="29"/>
        <v>104.29265580742093</v>
      </c>
      <c r="S36" s="4">
        <f t="shared" si="29"/>
        <v>101.59166762870827</v>
      </c>
      <c r="T36" s="4">
        <f t="shared" si="29"/>
        <v>99.631655982313688</v>
      </c>
      <c r="U36" s="4">
        <f t="shared" si="29"/>
        <v>193.07182631115069</v>
      </c>
      <c r="V36" s="4">
        <f t="shared" si="29"/>
        <v>252.78620091960155</v>
      </c>
      <c r="W36" s="4">
        <f t="shared" si="29"/>
        <v>303.6286694630877</v>
      </c>
      <c r="X36" s="4">
        <f t="shared" si="29"/>
        <v>337.69091154603797</v>
      </c>
      <c r="Y36" s="4">
        <f t="shared" si="29"/>
        <v>363.03736494648757</v>
      </c>
      <c r="Z36" s="4">
        <f t="shared" si="29"/>
        <v>378.47076492959008</v>
      </c>
      <c r="AA36" s="4">
        <f t="shared" si="29"/>
        <v>367.23959875081795</v>
      </c>
      <c r="AB36" s="4">
        <f t="shared" si="29"/>
        <v>329.20606259206448</v>
      </c>
      <c r="AC36" s="4">
        <f t="shared" si="29"/>
        <v>289.51713137540622</v>
      </c>
      <c r="AD36" s="4">
        <f t="shared" si="29"/>
        <v>268.60169558759935</v>
      </c>
      <c r="AE36" s="4">
        <f t="shared" si="29"/>
        <v>265.26804435429318</v>
      </c>
      <c r="AF36" s="4">
        <f t="shared" si="29"/>
        <v>267.57730501961203</v>
      </c>
      <c r="AG36" s="4">
        <f t="shared" si="29"/>
        <v>267.31816296133843</v>
      </c>
      <c r="AH36" s="4">
        <f t="shared" si="29"/>
        <v>264.61381809604188</v>
      </c>
      <c r="AI36" s="4">
        <f t="shared" si="29"/>
        <v>262.77519916259251</v>
      </c>
      <c r="AJ36" s="4">
        <f t="shared" si="29"/>
        <v>262.74541149063566</v>
      </c>
      <c r="AK36" s="4">
        <f t="shared" si="29"/>
        <v>263.11791541122017</v>
      </c>
      <c r="AL36" s="4">
        <f t="shared" si="29"/>
        <v>13.88124980946092</v>
      </c>
      <c r="AM36" s="4">
        <f t="shared" si="29"/>
        <v>14.893415797302007</v>
      </c>
      <c r="AN36" s="4">
        <f t="shared" si="29"/>
        <v>16.012726401841139</v>
      </c>
      <c r="AO36" s="4">
        <f t="shared" si="29"/>
        <v>17.20749591929366</v>
      </c>
      <c r="AP36" s="4">
        <f t="shared" si="29"/>
        <v>18.43112478211836</v>
      </c>
      <c r="AQ36" s="4">
        <f t="shared" si="29"/>
        <v>19.63161873937819</v>
      </c>
      <c r="AR36" s="4">
        <f t="shared" si="29"/>
        <v>20.754015534659942</v>
      </c>
      <c r="AS36" s="4">
        <f t="shared" si="29"/>
        <v>22.73535174570894</v>
      </c>
      <c r="AT36" s="4">
        <f t="shared" si="29"/>
        <v>24.531441016988296</v>
      </c>
      <c r="AU36" s="4">
        <f t="shared" si="29"/>
        <v>26.112313927391</v>
      </c>
      <c r="AV36" s="4">
        <f t="shared" si="29"/>
        <v>27.460230227332801</v>
      </c>
      <c r="AW36" s="4">
        <f t="shared" si="29"/>
        <v>28.571392331835916</v>
      </c>
      <c r="AX36" s="4">
        <f t="shared" si="29"/>
        <v>29.458155247061683</v>
      </c>
      <c r="AY36" s="4">
        <f t="shared" si="29"/>
        <v>30.144711208692975</v>
      </c>
      <c r="AZ36" s="4">
        <f t="shared" si="29"/>
        <v>30.66181508975567</v>
      </c>
      <c r="BA36" s="4">
        <f t="shared" si="29"/>
        <v>31.033627037262999</v>
      </c>
      <c r="BB36" s="4">
        <f t="shared" si="29"/>
        <v>31.274592412389008</v>
      </c>
    </row>
    <row r="69" spans="2:20">
      <c r="C69" s="15"/>
      <c r="D69" t="s">
        <v>334</v>
      </c>
      <c r="T69" s="15"/>
    </row>
    <row r="70" spans="2:20">
      <c r="C70" s="15"/>
      <c r="D70" t="s">
        <v>114</v>
      </c>
      <c r="T70" s="15"/>
    </row>
    <row r="71" spans="2:20">
      <c r="B71" t="s">
        <v>309</v>
      </c>
      <c r="C71" s="15" t="s">
        <v>310</v>
      </c>
      <c r="D71">
        <v>2020</v>
      </c>
      <c r="E71">
        <v>2025</v>
      </c>
      <c r="F71">
        <v>2030</v>
      </c>
      <c r="G71">
        <v>2035</v>
      </c>
      <c r="H71">
        <v>2040</v>
      </c>
      <c r="I71">
        <v>2045</v>
      </c>
      <c r="J71">
        <v>2050</v>
      </c>
      <c r="K71">
        <v>2055</v>
      </c>
      <c r="L71">
        <v>2060</v>
      </c>
      <c r="M71">
        <v>2065</v>
      </c>
      <c r="N71">
        <v>2070</v>
      </c>
      <c r="O71">
        <v>2075</v>
      </c>
      <c r="P71">
        <v>2080</v>
      </c>
      <c r="Q71">
        <v>2085</v>
      </c>
      <c r="R71">
        <v>2090</v>
      </c>
      <c r="S71">
        <v>2095</v>
      </c>
      <c r="T71" s="15">
        <v>2100</v>
      </c>
    </row>
    <row r="72" spans="2:20">
      <c r="B72">
        <v>1</v>
      </c>
      <c r="C72" s="15" t="s">
        <v>294</v>
      </c>
      <c r="D72">
        <f>D27+U27+AL27</f>
        <v>45.813463475245563</v>
      </c>
      <c r="E72">
        <f t="shared" ref="E72:T72" si="30">E27+V27+AM27</f>
        <v>42.77036321998704</v>
      </c>
      <c r="F72">
        <f t="shared" si="30"/>
        <v>39.23260897014093</v>
      </c>
      <c r="G72">
        <f t="shared" si="30"/>
        <v>36.31668826327784</v>
      </c>
      <c r="H72">
        <f t="shared" si="30"/>
        <v>34.375900114342642</v>
      </c>
      <c r="I72">
        <f t="shared" si="30"/>
        <v>32.89450023184115</v>
      </c>
      <c r="J72">
        <f t="shared" si="30"/>
        <v>31.32326747139345</v>
      </c>
      <c r="K72">
        <f t="shared" si="30"/>
        <v>29.987478713393699</v>
      </c>
      <c r="L72">
        <f t="shared" si="30"/>
        <v>29.001615447724895</v>
      </c>
      <c r="M72">
        <f t="shared" si="30"/>
        <v>28.34229480158087</v>
      </c>
      <c r="N72">
        <f t="shared" si="30"/>
        <v>27.808115809600093</v>
      </c>
      <c r="O72">
        <f t="shared" si="30"/>
        <v>27.33862983156364</v>
      </c>
      <c r="P72">
        <f t="shared" si="30"/>
        <v>26.960804755981673</v>
      </c>
      <c r="Q72">
        <f t="shared" si="30"/>
        <v>26.666516077423733</v>
      </c>
      <c r="R72">
        <f t="shared" si="30"/>
        <v>26.415360587387653</v>
      </c>
      <c r="S72">
        <f t="shared" si="30"/>
        <v>26.16825266351287</v>
      </c>
      <c r="T72" s="15">
        <f t="shared" si="30"/>
        <v>25.90369035016192</v>
      </c>
    </row>
    <row r="73" spans="2:20">
      <c r="B73">
        <v>2</v>
      </c>
      <c r="C73" s="15" t="s">
        <v>291</v>
      </c>
      <c r="D73">
        <f t="shared" ref="D73:D80" si="31">D28+U28+AL28</f>
        <v>19.674365536499668</v>
      </c>
      <c r="E73">
        <f t="shared" ref="E73:E80" si="32">E28+V28+AM28</f>
        <v>19.53576158063257</v>
      </c>
      <c r="F73">
        <f t="shared" ref="F73:F80" si="33">F28+W28+AN28</f>
        <v>17.962917790702871</v>
      </c>
      <c r="G73">
        <f t="shared" ref="G73:G80" si="34">G28+X28+AO28</f>
        <v>15.954611740369677</v>
      </c>
      <c r="H73">
        <f t="shared" ref="H73:H80" si="35">H28+Y28+AP28</f>
        <v>14.421964604708181</v>
      </c>
      <c r="I73">
        <f t="shared" ref="I73:I80" si="36">I28+Z28+AQ28</f>
        <v>13.354628553697093</v>
      </c>
      <c r="J73">
        <f t="shared" ref="J73:J80" si="37">J28+AA28+AR28</f>
        <v>12.300565187049589</v>
      </c>
      <c r="K73">
        <f t="shared" ref="K73:K80" si="38">K28+AB28+AS28</f>
        <v>11.515499169345205</v>
      </c>
      <c r="L73">
        <f t="shared" ref="L73:L80" si="39">L28+AC28+AT28</f>
        <v>11.052868217221212</v>
      </c>
      <c r="M73">
        <f t="shared" ref="M73:M80" si="40">M28+AD28+AU28</f>
        <v>10.808156953478209</v>
      </c>
      <c r="N73">
        <f t="shared" ref="N73:N80" si="41">N28+AE28+AV28</f>
        <v>10.591261203494296</v>
      </c>
      <c r="O73">
        <f t="shared" ref="O73:O80" si="42">O28+AF28+AW28</f>
        <v>10.417029223911674</v>
      </c>
      <c r="P73">
        <f t="shared" ref="P73:P80" si="43">P28+AG28+AX28</f>
        <v>10.340816718586639</v>
      </c>
      <c r="Q73">
        <f t="shared" ref="Q73:Q80" si="44">Q28+AH28+AY28</f>
        <v>10.339920884839252</v>
      </c>
      <c r="R73">
        <f t="shared" ref="R73:R80" si="45">R28+AI28+AZ28</f>
        <v>10.357535784622346</v>
      </c>
      <c r="S73">
        <f t="shared" ref="S73:S80" si="46">S28+AJ28+BA28</f>
        <v>10.350247539432024</v>
      </c>
      <c r="T73" s="15">
        <f t="shared" ref="T73:T80" si="47">T28+AK28+BB28</f>
        <v>10.302215332861591</v>
      </c>
    </row>
    <row r="74" spans="2:20">
      <c r="B74">
        <v>3</v>
      </c>
      <c r="C74" s="15" t="s">
        <v>311</v>
      </c>
      <c r="D74">
        <f t="shared" si="31"/>
        <v>30.068457461397891</v>
      </c>
      <c r="E74">
        <f t="shared" si="32"/>
        <v>35.567822608446143</v>
      </c>
      <c r="F74">
        <f t="shared" si="33"/>
        <v>41.633276669500695</v>
      </c>
      <c r="G74">
        <f t="shared" si="34"/>
        <v>46.868700533845868</v>
      </c>
      <c r="H74">
        <f t="shared" si="35"/>
        <v>49.126434151616529</v>
      </c>
      <c r="I74">
        <f t="shared" si="36"/>
        <v>46.746459828043712</v>
      </c>
      <c r="J74">
        <f t="shared" si="37"/>
        <v>40.732118398608456</v>
      </c>
      <c r="K74">
        <f t="shared" si="38"/>
        <v>36.04937626632168</v>
      </c>
      <c r="L74">
        <f t="shared" si="39"/>
        <v>34.071951179163015</v>
      </c>
      <c r="M74">
        <f t="shared" si="40"/>
        <v>34.43376872305906</v>
      </c>
      <c r="N74">
        <f t="shared" si="41"/>
        <v>34.755154022216672</v>
      </c>
      <c r="O74">
        <f t="shared" si="42"/>
        <v>33.900848021748558</v>
      </c>
      <c r="P74">
        <f t="shared" si="43"/>
        <v>32.939778586132569</v>
      </c>
      <c r="Q74">
        <f t="shared" si="44"/>
        <v>32.73280607634085</v>
      </c>
      <c r="R74">
        <f t="shared" si="45"/>
        <v>32.893685802174943</v>
      </c>
      <c r="S74">
        <f t="shared" si="46"/>
        <v>33.065792482429174</v>
      </c>
      <c r="T74" s="15">
        <f t="shared" si="47"/>
        <v>33.205406937853226</v>
      </c>
    </row>
    <row r="75" spans="2:20">
      <c r="B75">
        <v>4</v>
      </c>
      <c r="C75" s="15" t="s">
        <v>312</v>
      </c>
      <c r="D75">
        <f t="shared" si="31"/>
        <v>13.401465708369591</v>
      </c>
      <c r="E75">
        <f t="shared" si="32"/>
        <v>21.964959507686835</v>
      </c>
      <c r="F75">
        <f t="shared" si="33"/>
        <v>34.411518632024524</v>
      </c>
      <c r="G75">
        <f t="shared" si="34"/>
        <v>51.236981735647383</v>
      </c>
      <c r="H75">
        <f t="shared" si="35"/>
        <v>71.909782480705971</v>
      </c>
      <c r="I75">
        <f t="shared" si="36"/>
        <v>93.613502464320518</v>
      </c>
      <c r="J75">
        <f t="shared" si="37"/>
        <v>110.1839296360441</v>
      </c>
      <c r="K75">
        <f t="shared" si="38"/>
        <v>115.28969250132721</v>
      </c>
      <c r="L75">
        <f t="shared" si="39"/>
        <v>109.44279641825263</v>
      </c>
      <c r="M75">
        <f t="shared" si="40"/>
        <v>99.613753556432556</v>
      </c>
      <c r="N75">
        <f t="shared" si="41"/>
        <v>93.424396804402704</v>
      </c>
      <c r="O75">
        <f t="shared" si="42"/>
        <v>92.950916021609586</v>
      </c>
      <c r="P75">
        <f t="shared" si="43"/>
        <v>94.057830853871693</v>
      </c>
      <c r="Q75">
        <f t="shared" si="44"/>
        <v>93.954408525458277</v>
      </c>
      <c r="R75">
        <f t="shared" si="45"/>
        <v>94.064917209983435</v>
      </c>
      <c r="S75">
        <f t="shared" si="46"/>
        <v>95.636871893762446</v>
      </c>
      <c r="T75" s="15">
        <f t="shared" si="47"/>
        <v>98.040614556802097</v>
      </c>
    </row>
    <row r="76" spans="2:20">
      <c r="B76">
        <v>5</v>
      </c>
      <c r="C76" s="15" t="s">
        <v>313</v>
      </c>
      <c r="D76">
        <f t="shared" si="31"/>
        <v>42.228327235141997</v>
      </c>
      <c r="E76">
        <f t="shared" si="32"/>
        <v>67.146618471450466</v>
      </c>
      <c r="F76">
        <f t="shared" si="33"/>
        <v>99.178463609899879</v>
      </c>
      <c r="G76">
        <f t="shared" si="34"/>
        <v>136.64297586122851</v>
      </c>
      <c r="H76">
        <f t="shared" si="35"/>
        <v>171.97408885802861</v>
      </c>
      <c r="I76">
        <f t="shared" si="36"/>
        <v>191.38736899244839</v>
      </c>
      <c r="J76">
        <f t="shared" si="37"/>
        <v>183.81733429266984</v>
      </c>
      <c r="K76">
        <f t="shared" si="38"/>
        <v>153.68075551485674</v>
      </c>
      <c r="L76">
        <f t="shared" si="39"/>
        <v>122.39163504690251</v>
      </c>
      <c r="M76">
        <f t="shared" si="40"/>
        <v>106.0733850784042</v>
      </c>
      <c r="N76">
        <f t="shared" si="41"/>
        <v>102.92764914314806</v>
      </c>
      <c r="O76">
        <f t="shared" si="42"/>
        <v>102.36889951142675</v>
      </c>
      <c r="P76">
        <f t="shared" si="43"/>
        <v>99.336577365280959</v>
      </c>
      <c r="Q76">
        <f t="shared" si="44"/>
        <v>95.419683543990246</v>
      </c>
      <c r="R76">
        <f t="shared" si="45"/>
        <v>92.613341242540287</v>
      </c>
      <c r="S76">
        <f t="shared" si="46"/>
        <v>90.86406541219263</v>
      </c>
      <c r="T76" s="15">
        <f t="shared" si="47"/>
        <v>89.382195311414094</v>
      </c>
    </row>
    <row r="77" spans="2:20">
      <c r="B77">
        <v>6</v>
      </c>
      <c r="C77" s="15" t="s">
        <v>295</v>
      </c>
      <c r="D77">
        <f t="shared" si="31"/>
        <v>132.96790934446611</v>
      </c>
      <c r="E77">
        <f t="shared" si="32"/>
        <v>155.64731354054098</v>
      </c>
      <c r="F77">
        <f t="shared" si="33"/>
        <v>154.83994676412129</v>
      </c>
      <c r="G77">
        <f t="shared" si="34"/>
        <v>127.39320329421807</v>
      </c>
      <c r="H77">
        <f t="shared" si="35"/>
        <v>95.461264137661004</v>
      </c>
      <c r="I77">
        <f t="shared" si="36"/>
        <v>79.122263695511705</v>
      </c>
      <c r="J77">
        <f t="shared" si="37"/>
        <v>74.520250023301486</v>
      </c>
      <c r="K77">
        <f t="shared" si="38"/>
        <v>73.44430000999732</v>
      </c>
      <c r="L77">
        <f t="shared" si="39"/>
        <v>70.060811578844621</v>
      </c>
      <c r="M77">
        <f t="shared" si="40"/>
        <v>66.519351884237707</v>
      </c>
      <c r="N77">
        <f t="shared" si="41"/>
        <v>63.97701439558665</v>
      </c>
      <c r="O77">
        <f t="shared" si="42"/>
        <v>62.145761977211407</v>
      </c>
      <c r="P77">
        <f t="shared" si="43"/>
        <v>60.523298724158643</v>
      </c>
      <c r="Q77">
        <f t="shared" si="44"/>
        <v>58.901498073079672</v>
      </c>
      <c r="R77">
        <f t="shared" si="45"/>
        <v>57.300653985388365</v>
      </c>
      <c r="S77">
        <f t="shared" si="46"/>
        <v>55.772154267641227</v>
      </c>
      <c r="T77" s="15">
        <f t="shared" si="47"/>
        <v>54.285488820342387</v>
      </c>
    </row>
    <row r="78" spans="2:20">
      <c r="B78">
        <v>7</v>
      </c>
      <c r="C78" s="15" t="s">
        <v>314</v>
      </c>
      <c r="D78">
        <f t="shared" si="31"/>
        <v>31.81343196963018</v>
      </c>
      <c r="E78">
        <f t="shared" si="32"/>
        <v>41.47308290118297</v>
      </c>
      <c r="F78">
        <f t="shared" si="33"/>
        <v>51.554640247234211</v>
      </c>
      <c r="G78">
        <f t="shared" si="34"/>
        <v>59.695981455436403</v>
      </c>
      <c r="H78">
        <f t="shared" si="35"/>
        <v>62.307332628015942</v>
      </c>
      <c r="I78">
        <f t="shared" si="36"/>
        <v>57.202239771398631</v>
      </c>
      <c r="J78">
        <f t="shared" si="37"/>
        <v>47.401407718707908</v>
      </c>
      <c r="K78">
        <f t="shared" si="38"/>
        <v>39.384849087247503</v>
      </c>
      <c r="L78">
        <f t="shared" si="39"/>
        <v>36.550351401284168</v>
      </c>
      <c r="M78">
        <f t="shared" si="40"/>
        <v>36.449369515203571</v>
      </c>
      <c r="N78">
        <f t="shared" si="41"/>
        <v>36.181007170941442</v>
      </c>
      <c r="O78">
        <f t="shared" si="42"/>
        <v>35.349413162924648</v>
      </c>
      <c r="P78">
        <f t="shared" si="43"/>
        <v>34.552031405719625</v>
      </c>
      <c r="Q78">
        <f t="shared" si="44"/>
        <v>34.048709460556537</v>
      </c>
      <c r="R78">
        <f t="shared" si="45"/>
        <v>33.740290820589209</v>
      </c>
      <c r="S78">
        <f t="shared" si="46"/>
        <v>33.45696324971825</v>
      </c>
      <c r="T78" s="15">
        <f t="shared" si="47"/>
        <v>33.103049135444714</v>
      </c>
    </row>
    <row r="79" spans="2:20">
      <c r="B79">
        <v>8</v>
      </c>
      <c r="C79" s="15" t="s">
        <v>290</v>
      </c>
      <c r="D79">
        <f t="shared" si="31"/>
        <v>26.597465149176529</v>
      </c>
      <c r="E79">
        <f t="shared" si="32"/>
        <v>28.548359271064658</v>
      </c>
      <c r="F79">
        <f t="shared" si="33"/>
        <v>30.3775799728169</v>
      </c>
      <c r="G79">
        <f t="shared" si="34"/>
        <v>31.47878419376628</v>
      </c>
      <c r="H79">
        <f t="shared" si="35"/>
        <v>31.395180928487779</v>
      </c>
      <c r="I79">
        <f t="shared" si="36"/>
        <v>30.152885399977528</v>
      </c>
      <c r="J79">
        <f t="shared" si="37"/>
        <v>28.400804564992224</v>
      </c>
      <c r="K79">
        <f t="shared" si="38"/>
        <v>26.98442223880846</v>
      </c>
      <c r="L79">
        <f t="shared" si="39"/>
        <v>26.589918991667105</v>
      </c>
      <c r="M79">
        <f t="shared" si="40"/>
        <v>26.930674900087393</v>
      </c>
      <c r="N79">
        <f t="shared" si="41"/>
        <v>27.376759581820654</v>
      </c>
      <c r="O79">
        <f t="shared" si="42"/>
        <v>27.608046558290127</v>
      </c>
      <c r="P79">
        <f t="shared" si="43"/>
        <v>27.685897268668377</v>
      </c>
      <c r="Q79">
        <f t="shared" si="44"/>
        <v>27.754397475926979</v>
      </c>
      <c r="R79">
        <f t="shared" si="45"/>
        <v>27.86853519743519</v>
      </c>
      <c r="S79">
        <f t="shared" si="46"/>
        <v>28.015163611285836</v>
      </c>
      <c r="T79" s="15">
        <f t="shared" si="47"/>
        <v>28.16468694500848</v>
      </c>
    </row>
    <row r="80" spans="2:20">
      <c r="B80">
        <v>9</v>
      </c>
      <c r="C80" s="15" t="s">
        <v>315</v>
      </c>
      <c r="D80">
        <f t="shared" si="31"/>
        <v>28.061253521217541</v>
      </c>
      <c r="E80">
        <f t="shared" si="32"/>
        <v>34.058910153586325</v>
      </c>
      <c r="F80">
        <f t="shared" si="33"/>
        <v>39.506557824417357</v>
      </c>
      <c r="G80">
        <f t="shared" si="34"/>
        <v>42.987505939564087</v>
      </c>
      <c r="H80">
        <f t="shared" si="35"/>
        <v>43.156984066659874</v>
      </c>
      <c r="I80">
        <f t="shared" si="36"/>
        <v>39.846740381754969</v>
      </c>
      <c r="J80">
        <f t="shared" si="37"/>
        <v>34.738543160880184</v>
      </c>
      <c r="K80">
        <f t="shared" si="38"/>
        <v>29.71502524175397</v>
      </c>
      <c r="L80">
        <f t="shared" si="39"/>
        <v>26.805662904433362</v>
      </c>
      <c r="M80">
        <f t="shared" si="40"/>
        <v>25.67138335880659</v>
      </c>
      <c r="N80">
        <f t="shared" si="41"/>
        <v>25.191204871252328</v>
      </c>
      <c r="O80">
        <f t="shared" si="42"/>
        <v>24.594942697227637</v>
      </c>
      <c r="P80">
        <f t="shared" si="43"/>
        <v>23.796728254473244</v>
      </c>
      <c r="Q80">
        <f t="shared" si="44"/>
        <v>23.043623043766971</v>
      </c>
      <c r="R80">
        <f t="shared" si="45"/>
        <v>22.475349429647675</v>
      </c>
      <c r="S80">
        <f t="shared" si="46"/>
        <v>22.041195036632462</v>
      </c>
      <c r="T80" s="15">
        <f t="shared" si="47"/>
        <v>21.636816416034375</v>
      </c>
    </row>
    <row r="81" spans="10:10">
      <c r="J81">
        <f>SUM(J72:J80)</f>
        <v>563.41822045364722</v>
      </c>
    </row>
    <row r="108" spans="2:20">
      <c r="C108" s="15"/>
      <c r="D108" t="s">
        <v>336</v>
      </c>
    </row>
    <row r="109" spans="2:20">
      <c r="C109" s="15"/>
      <c r="D109" s="5" t="s">
        <v>303</v>
      </c>
    </row>
    <row r="110" spans="2:20">
      <c r="B110" t="s">
        <v>309</v>
      </c>
      <c r="C110" s="15" t="s">
        <v>310</v>
      </c>
      <c r="D110">
        <v>2020</v>
      </c>
      <c r="E110">
        <v>2025</v>
      </c>
      <c r="F110">
        <v>2030</v>
      </c>
      <c r="G110">
        <v>2035</v>
      </c>
      <c r="H110">
        <v>2040</v>
      </c>
      <c r="I110">
        <v>2045</v>
      </c>
      <c r="J110">
        <v>2050</v>
      </c>
      <c r="K110">
        <v>2055</v>
      </c>
      <c r="L110">
        <v>2060</v>
      </c>
      <c r="M110">
        <v>2065</v>
      </c>
      <c r="N110">
        <v>2070</v>
      </c>
      <c r="O110">
        <v>2075</v>
      </c>
      <c r="P110">
        <v>2080</v>
      </c>
      <c r="Q110">
        <v>2085</v>
      </c>
      <c r="R110">
        <v>2090</v>
      </c>
      <c r="S110">
        <v>2095</v>
      </c>
      <c r="T110" s="15">
        <v>2100</v>
      </c>
    </row>
    <row r="111" spans="2:20">
      <c r="B111">
        <v>1</v>
      </c>
      <c r="C111" s="15" t="s">
        <v>294</v>
      </c>
      <c r="D111">
        <v>0</v>
      </c>
      <c r="E111">
        <f>D111+(E72+D72)/2*5/1000</f>
        <v>0.22145956673808148</v>
      </c>
      <c r="F111">
        <f t="shared" ref="F111:T111" si="48">E111+(F72+E72)/2*5/1000</f>
        <v>0.42646699721340137</v>
      </c>
      <c r="G111">
        <f t="shared" si="48"/>
        <v>0.61534024029694834</v>
      </c>
      <c r="H111">
        <f t="shared" si="48"/>
        <v>0.79207171124099951</v>
      </c>
      <c r="I111">
        <f t="shared" si="48"/>
        <v>0.96024771210645898</v>
      </c>
      <c r="J111">
        <f t="shared" si="48"/>
        <v>1.1207921313645455</v>
      </c>
      <c r="K111">
        <f t="shared" si="48"/>
        <v>1.2740689968265133</v>
      </c>
      <c r="L111">
        <f t="shared" si="48"/>
        <v>1.4215417322293098</v>
      </c>
      <c r="M111">
        <f t="shared" si="48"/>
        <v>1.5649015078525741</v>
      </c>
      <c r="N111">
        <f t="shared" si="48"/>
        <v>1.7052775343805264</v>
      </c>
      <c r="O111">
        <f t="shared" si="48"/>
        <v>1.8431443984834357</v>
      </c>
      <c r="P111">
        <f t="shared" si="48"/>
        <v>1.9788929849522989</v>
      </c>
      <c r="Q111">
        <f t="shared" si="48"/>
        <v>2.1129612870358123</v>
      </c>
      <c r="R111">
        <f t="shared" si="48"/>
        <v>2.2456659786978408</v>
      </c>
      <c r="S111">
        <f t="shared" si="48"/>
        <v>2.3771250118250919</v>
      </c>
      <c r="T111">
        <f t="shared" si="48"/>
        <v>2.5073048693592788</v>
      </c>
    </row>
    <row r="112" spans="2:20">
      <c r="B112">
        <v>2</v>
      </c>
      <c r="C112" s="15" t="s">
        <v>291</v>
      </c>
      <c r="D112">
        <v>0</v>
      </c>
      <c r="E112">
        <f t="shared" ref="E112:T112" si="49">D112+(E73+D73)/2*5/1000</f>
        <v>9.8025317792830594E-2</v>
      </c>
      <c r="F112">
        <f t="shared" si="49"/>
        <v>0.19177201622116918</v>
      </c>
      <c r="G112">
        <f t="shared" si="49"/>
        <v>0.27656584004885054</v>
      </c>
      <c r="H112">
        <f t="shared" si="49"/>
        <v>0.35250728091154521</v>
      </c>
      <c r="I112">
        <f t="shared" si="49"/>
        <v>0.42194876380755841</v>
      </c>
      <c r="J112">
        <f t="shared" si="49"/>
        <v>0.4860867481594251</v>
      </c>
      <c r="K112">
        <f t="shared" si="49"/>
        <v>0.54562690905041211</v>
      </c>
      <c r="L112">
        <f t="shared" si="49"/>
        <v>0.60204782751682817</v>
      </c>
      <c r="M112">
        <f t="shared" si="49"/>
        <v>0.65670039044357675</v>
      </c>
      <c r="N112">
        <f t="shared" si="49"/>
        <v>0.71019893583600802</v>
      </c>
      <c r="O112">
        <f t="shared" si="49"/>
        <v>0.76271966190452289</v>
      </c>
      <c r="P112">
        <f t="shared" si="49"/>
        <v>0.8146142767607687</v>
      </c>
      <c r="Q112">
        <f t="shared" si="49"/>
        <v>0.8663161207693334</v>
      </c>
      <c r="R112">
        <f t="shared" si="49"/>
        <v>0.91805976244298737</v>
      </c>
      <c r="S112">
        <f t="shared" si="49"/>
        <v>0.96982922075312328</v>
      </c>
      <c r="T112">
        <f t="shared" si="49"/>
        <v>1.0214603779338574</v>
      </c>
    </row>
    <row r="113" spans="2:20">
      <c r="B113">
        <v>3</v>
      </c>
      <c r="C113" s="15" t="s">
        <v>311</v>
      </c>
      <c r="D113">
        <v>0</v>
      </c>
      <c r="E113">
        <f t="shared" ref="E113:T113" si="50">D113+(E74+D74)/2*5/1000</f>
        <v>0.16409070017461008</v>
      </c>
      <c r="F113">
        <f t="shared" si="50"/>
        <v>0.35709344836947715</v>
      </c>
      <c r="G113">
        <f t="shared" si="50"/>
        <v>0.57834839137784355</v>
      </c>
      <c r="H113">
        <f t="shared" si="50"/>
        <v>0.81833622809149953</v>
      </c>
      <c r="I113">
        <f t="shared" si="50"/>
        <v>1.0580184630406502</v>
      </c>
      <c r="J113">
        <f t="shared" si="50"/>
        <v>1.2767149086072807</v>
      </c>
      <c r="K113">
        <f t="shared" si="50"/>
        <v>1.4686686452696061</v>
      </c>
      <c r="L113">
        <f t="shared" si="50"/>
        <v>1.6439719638833177</v>
      </c>
      <c r="M113">
        <f t="shared" si="50"/>
        <v>1.8152362636388728</v>
      </c>
      <c r="N113">
        <f t="shared" si="50"/>
        <v>1.9882085705020622</v>
      </c>
      <c r="O113">
        <f t="shared" si="50"/>
        <v>2.1598485756119752</v>
      </c>
      <c r="P113">
        <f t="shared" si="50"/>
        <v>2.3269501421316781</v>
      </c>
      <c r="Q113">
        <f t="shared" si="50"/>
        <v>2.4911316037878617</v>
      </c>
      <c r="R113">
        <f t="shared" si="50"/>
        <v>2.6551978334841513</v>
      </c>
      <c r="S113">
        <f t="shared" si="50"/>
        <v>2.8200965291956615</v>
      </c>
      <c r="T113">
        <f t="shared" si="50"/>
        <v>2.9857745277463676</v>
      </c>
    </row>
    <row r="114" spans="2:20">
      <c r="B114">
        <v>4</v>
      </c>
      <c r="C114" s="15" t="s">
        <v>312</v>
      </c>
      <c r="D114">
        <v>0</v>
      </c>
      <c r="E114">
        <f t="shared" ref="E114:T114" si="51">D114+(E75+D75)/2*5/1000</f>
        <v>8.8416063040141074E-2</v>
      </c>
      <c r="F114">
        <f t="shared" si="51"/>
        <v>0.22935725838941945</v>
      </c>
      <c r="G114">
        <f t="shared" si="51"/>
        <v>0.44347850930859922</v>
      </c>
      <c r="H114">
        <f t="shared" si="51"/>
        <v>0.75134541984948267</v>
      </c>
      <c r="I114">
        <f t="shared" si="51"/>
        <v>1.1651536322120488</v>
      </c>
      <c r="J114">
        <f t="shared" si="51"/>
        <v>1.6746472124629603</v>
      </c>
      <c r="K114">
        <f t="shared" si="51"/>
        <v>2.2383312678063887</v>
      </c>
      <c r="L114">
        <f t="shared" si="51"/>
        <v>2.8001624901053384</v>
      </c>
      <c r="M114">
        <f t="shared" si="51"/>
        <v>3.3228038650420513</v>
      </c>
      <c r="N114">
        <f t="shared" si="51"/>
        <v>3.8053992409441393</v>
      </c>
      <c r="O114">
        <f t="shared" si="51"/>
        <v>4.2713375230091701</v>
      </c>
      <c r="P114">
        <f t="shared" si="51"/>
        <v>4.7388593901978737</v>
      </c>
      <c r="Q114">
        <f t="shared" si="51"/>
        <v>5.2088899886461988</v>
      </c>
      <c r="R114">
        <f t="shared" si="51"/>
        <v>5.6789383029848031</v>
      </c>
      <c r="S114">
        <f t="shared" si="51"/>
        <v>6.1531927757441682</v>
      </c>
      <c r="T114">
        <f t="shared" si="51"/>
        <v>6.6373864918705792</v>
      </c>
    </row>
    <row r="115" spans="2:20">
      <c r="B115">
        <v>5</v>
      </c>
      <c r="C115" s="15" t="s">
        <v>313</v>
      </c>
      <c r="D115">
        <v>0</v>
      </c>
      <c r="E115">
        <f t="shared" ref="E115:T115" si="52">D115+(E76+D76)/2*5/1000</f>
        <v>0.27343736426648113</v>
      </c>
      <c r="F115">
        <f t="shared" si="52"/>
        <v>0.6892500694698569</v>
      </c>
      <c r="G115">
        <f t="shared" si="52"/>
        <v>1.2788036681476778</v>
      </c>
      <c r="H115">
        <f t="shared" si="52"/>
        <v>2.0503463299458202</v>
      </c>
      <c r="I115">
        <f t="shared" si="52"/>
        <v>2.9587499745720125</v>
      </c>
      <c r="J115">
        <f t="shared" si="52"/>
        <v>3.8967617327848081</v>
      </c>
      <c r="K115">
        <f t="shared" si="52"/>
        <v>4.7405069573036247</v>
      </c>
      <c r="L115">
        <f t="shared" si="52"/>
        <v>5.4306879337080227</v>
      </c>
      <c r="M115">
        <f t="shared" si="52"/>
        <v>6.0018504840212898</v>
      </c>
      <c r="N115">
        <f t="shared" si="52"/>
        <v>6.5243530695751701</v>
      </c>
      <c r="O115">
        <f t="shared" si="52"/>
        <v>7.0375944412116072</v>
      </c>
      <c r="P115">
        <f t="shared" si="52"/>
        <v>7.5418581334033767</v>
      </c>
      <c r="Q115">
        <f t="shared" si="52"/>
        <v>8.0287487856765551</v>
      </c>
      <c r="R115">
        <f t="shared" si="52"/>
        <v>8.4988313476428807</v>
      </c>
      <c r="S115">
        <f t="shared" si="52"/>
        <v>8.9575248642797138</v>
      </c>
      <c r="T115">
        <f t="shared" si="52"/>
        <v>9.4081405160887304</v>
      </c>
    </row>
    <row r="116" spans="2:20">
      <c r="B116">
        <v>6</v>
      </c>
      <c r="C116" s="15" t="s">
        <v>295</v>
      </c>
      <c r="D116">
        <v>0</v>
      </c>
      <c r="E116">
        <f t="shared" ref="E116:T116" si="53">D116+(E77+D77)/2*5/1000</f>
        <v>0.72153805721251774</v>
      </c>
      <c r="F116">
        <f t="shared" si="53"/>
        <v>1.4977562079741735</v>
      </c>
      <c r="G116">
        <f t="shared" si="53"/>
        <v>2.2033390831200217</v>
      </c>
      <c r="H116">
        <f t="shared" si="53"/>
        <v>2.7604752516997193</v>
      </c>
      <c r="I116">
        <f t="shared" si="53"/>
        <v>3.1969340712826511</v>
      </c>
      <c r="J116">
        <f t="shared" si="53"/>
        <v>3.5810403555796841</v>
      </c>
      <c r="K116">
        <f t="shared" si="53"/>
        <v>3.9509517306629309</v>
      </c>
      <c r="L116">
        <f t="shared" si="53"/>
        <v>4.309714509635036</v>
      </c>
      <c r="M116">
        <f t="shared" si="53"/>
        <v>4.6511649182927419</v>
      </c>
      <c r="N116">
        <f t="shared" si="53"/>
        <v>4.9774058339923029</v>
      </c>
      <c r="O116">
        <f t="shared" si="53"/>
        <v>5.2927127749242979</v>
      </c>
      <c r="P116">
        <f t="shared" si="53"/>
        <v>5.5993854266777232</v>
      </c>
      <c r="Q116">
        <f t="shared" si="53"/>
        <v>5.8979474186708192</v>
      </c>
      <c r="R116">
        <f t="shared" si="53"/>
        <v>6.1884527988169893</v>
      </c>
      <c r="S116">
        <f t="shared" si="53"/>
        <v>6.4711348194495635</v>
      </c>
      <c r="T116">
        <f t="shared" si="53"/>
        <v>6.7462789271695227</v>
      </c>
    </row>
    <row r="117" spans="2:20">
      <c r="B117">
        <v>7</v>
      </c>
      <c r="C117" s="15" t="s">
        <v>314</v>
      </c>
      <c r="D117">
        <v>0</v>
      </c>
      <c r="E117">
        <f t="shared" ref="E117:T117" si="54">D117+(E78+D78)/2*5/1000</f>
        <v>0.18321628717703289</v>
      </c>
      <c r="F117">
        <f t="shared" si="54"/>
        <v>0.41578559504807588</v>
      </c>
      <c r="G117">
        <f t="shared" si="54"/>
        <v>0.69391214930475242</v>
      </c>
      <c r="H117">
        <f t="shared" si="54"/>
        <v>0.9989204345133833</v>
      </c>
      <c r="I117">
        <f t="shared" si="54"/>
        <v>1.2976943655119197</v>
      </c>
      <c r="J117">
        <f t="shared" si="54"/>
        <v>1.559203484237186</v>
      </c>
      <c r="K117">
        <f t="shared" si="54"/>
        <v>1.7761691262520745</v>
      </c>
      <c r="L117">
        <f t="shared" si="54"/>
        <v>1.9660071274734037</v>
      </c>
      <c r="M117">
        <f t="shared" si="54"/>
        <v>2.1485064297646232</v>
      </c>
      <c r="N117">
        <f t="shared" si="54"/>
        <v>2.3300823714799859</v>
      </c>
      <c r="O117">
        <f t="shared" si="54"/>
        <v>2.5089084223146512</v>
      </c>
      <c r="P117">
        <f t="shared" si="54"/>
        <v>2.6836620337362618</v>
      </c>
      <c r="Q117">
        <f t="shared" si="54"/>
        <v>2.8551638859019524</v>
      </c>
      <c r="R117">
        <f t="shared" si="54"/>
        <v>3.0246363866048167</v>
      </c>
      <c r="S117">
        <f t="shared" si="54"/>
        <v>3.1926295217805851</v>
      </c>
      <c r="T117">
        <f t="shared" si="54"/>
        <v>3.3590295527434924</v>
      </c>
    </row>
    <row r="118" spans="2:20">
      <c r="B118">
        <v>8</v>
      </c>
      <c r="C118" s="15" t="s">
        <v>290</v>
      </c>
      <c r="D118">
        <v>0</v>
      </c>
      <c r="E118">
        <f t="shared" ref="E118:T118" si="55">D118+(E79+D79)/2*5/1000</f>
        <v>0.13786456105060296</v>
      </c>
      <c r="F118">
        <f t="shared" si="55"/>
        <v>0.28517940916030682</v>
      </c>
      <c r="G118">
        <f t="shared" si="55"/>
        <v>0.43982031957676471</v>
      </c>
      <c r="H118">
        <f t="shared" si="55"/>
        <v>0.59700523238239989</v>
      </c>
      <c r="I118">
        <f t="shared" si="55"/>
        <v>0.75087539820356319</v>
      </c>
      <c r="J118">
        <f t="shared" si="55"/>
        <v>0.8972596231159875</v>
      </c>
      <c r="K118">
        <f t="shared" si="55"/>
        <v>1.0357226901254892</v>
      </c>
      <c r="L118">
        <f t="shared" si="55"/>
        <v>1.1696585432016782</v>
      </c>
      <c r="M118">
        <f t="shared" si="55"/>
        <v>1.3034600279310644</v>
      </c>
      <c r="N118">
        <f t="shared" si="55"/>
        <v>1.4392286141358346</v>
      </c>
      <c r="O118">
        <f t="shared" si="55"/>
        <v>1.5766906294861116</v>
      </c>
      <c r="P118">
        <f t="shared" si="55"/>
        <v>1.7149254890535079</v>
      </c>
      <c r="Q118">
        <f t="shared" si="55"/>
        <v>1.8535262259149963</v>
      </c>
      <c r="R118">
        <f t="shared" si="55"/>
        <v>1.9925835575984017</v>
      </c>
      <c r="S118">
        <f t="shared" si="55"/>
        <v>2.1322928046202043</v>
      </c>
      <c r="T118">
        <f t="shared" si="55"/>
        <v>2.2727424310109399</v>
      </c>
    </row>
    <row r="119" spans="2:20">
      <c r="B119">
        <v>9</v>
      </c>
      <c r="C119" s="15" t="s">
        <v>315</v>
      </c>
      <c r="D119">
        <v>0</v>
      </c>
      <c r="E119">
        <f t="shared" ref="E119:T119" si="56">D119+(E80+D80)/2*5/1000</f>
        <v>0.15530040918700966</v>
      </c>
      <c r="F119">
        <f t="shared" si="56"/>
        <v>0.33921407913201884</v>
      </c>
      <c r="G119">
        <f t="shared" si="56"/>
        <v>0.54544923854197247</v>
      </c>
      <c r="H119">
        <f t="shared" si="56"/>
        <v>0.76081046355753235</v>
      </c>
      <c r="I119">
        <f t="shared" si="56"/>
        <v>0.96831977467856944</v>
      </c>
      <c r="J119">
        <f t="shared" si="56"/>
        <v>1.1547829835351573</v>
      </c>
      <c r="K119">
        <f t="shared" si="56"/>
        <v>1.3159169045417427</v>
      </c>
      <c r="L119">
        <f t="shared" si="56"/>
        <v>1.457218624907211</v>
      </c>
      <c r="M119">
        <f t="shared" si="56"/>
        <v>1.5884112405653108</v>
      </c>
      <c r="N119">
        <f t="shared" si="56"/>
        <v>1.7155677111404581</v>
      </c>
      <c r="O119">
        <f t="shared" si="56"/>
        <v>1.840033080061658</v>
      </c>
      <c r="P119">
        <f t="shared" si="56"/>
        <v>1.9610122574409101</v>
      </c>
      <c r="Q119">
        <f t="shared" si="56"/>
        <v>2.0781131356865106</v>
      </c>
      <c r="R119">
        <f t="shared" si="56"/>
        <v>2.1919105668700474</v>
      </c>
      <c r="S119">
        <f t="shared" si="56"/>
        <v>2.3032019280357479</v>
      </c>
      <c r="T119">
        <f t="shared" si="56"/>
        <v>2.4123969566674148</v>
      </c>
    </row>
    <row r="120" spans="2:20">
      <c r="J120">
        <f>SUM(J111:J119)</f>
        <v>15.647289179847036</v>
      </c>
    </row>
  </sheetData>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CFDA-A4CA-214A-A76B-B907E826DF39}">
  <dimension ref="A1:R225"/>
  <sheetViews>
    <sheetView topLeftCell="D1" zoomScale="80" zoomScaleNormal="80" workbookViewId="0">
      <selection activeCell="S13" sqref="S13"/>
    </sheetView>
  </sheetViews>
  <sheetFormatPr defaultColWidth="11.5546875" defaultRowHeight="15"/>
  <cols>
    <col min="2" max="2" width="15" bestFit="1" customWidth="1"/>
    <col min="3" max="3" width="20.5546875" bestFit="1" customWidth="1"/>
    <col min="4" max="4" width="12.44140625" bestFit="1" customWidth="1"/>
    <col min="7" max="7" width="38.88671875" bestFit="1" customWidth="1"/>
    <col min="8" max="8" width="11" bestFit="1" customWidth="1"/>
  </cols>
  <sheetData>
    <row r="1" spans="1:18">
      <c r="A1" t="s">
        <v>358</v>
      </c>
      <c r="C1" s="26" t="s">
        <v>588</v>
      </c>
    </row>
    <row r="2" spans="1:18" ht="15.75">
      <c r="D2" t="s">
        <v>585</v>
      </c>
      <c r="G2" s="3" t="s">
        <v>577</v>
      </c>
      <c r="J2" s="3"/>
      <c r="L2" s="3" t="s">
        <v>583</v>
      </c>
      <c r="O2" s="3" t="s">
        <v>13</v>
      </c>
    </row>
    <row r="3" spans="1:18">
      <c r="A3" t="s">
        <v>359</v>
      </c>
      <c r="B3" t="s">
        <v>360</v>
      </c>
      <c r="C3" t="s">
        <v>380</v>
      </c>
      <c r="D3" t="s">
        <v>575</v>
      </c>
      <c r="E3" t="s">
        <v>576</v>
      </c>
      <c r="G3" t="s">
        <v>575</v>
      </c>
      <c r="H3">
        <f>H6*M3</f>
        <v>20</v>
      </c>
      <c r="I3" t="s">
        <v>578</v>
      </c>
      <c r="L3" t="s">
        <v>575</v>
      </c>
      <c r="M3">
        <v>0.5</v>
      </c>
      <c r="N3" t="s">
        <v>584</v>
      </c>
    </row>
    <row r="4" spans="1:18">
      <c r="A4" t="s">
        <v>136</v>
      </c>
      <c r="B4" t="s">
        <v>298</v>
      </c>
      <c r="C4" s="53">
        <v>169463000</v>
      </c>
      <c r="D4" s="8">
        <f>C4*$H$3/10^9</f>
        <v>3.3892600000000002</v>
      </c>
      <c r="E4" s="8">
        <f>C4*$H$4/10^9</f>
        <v>4.5416084000000003</v>
      </c>
      <c r="G4" t="s">
        <v>576</v>
      </c>
      <c r="H4">
        <f>H6*M4</f>
        <v>26.8</v>
      </c>
      <c r="I4" t="s">
        <v>578</v>
      </c>
      <c r="L4" t="s">
        <v>576</v>
      </c>
      <c r="M4">
        <v>0.67</v>
      </c>
      <c r="N4" t="s">
        <v>584</v>
      </c>
    </row>
    <row r="5" spans="1:18" ht="15.75">
      <c r="A5" t="s">
        <v>361</v>
      </c>
      <c r="B5" t="s">
        <v>290</v>
      </c>
      <c r="C5" s="53">
        <v>160436800</v>
      </c>
      <c r="D5" s="8">
        <f t="shared" ref="D5:D68" si="0">C5*$H$3/10^9</f>
        <v>3.208736</v>
      </c>
      <c r="E5" s="8">
        <f t="shared" ref="E5:E68" si="1">C5*$H$4/10^9</f>
        <v>4.2997062399999999</v>
      </c>
      <c r="J5" s="3" t="s">
        <v>13</v>
      </c>
    </row>
    <row r="6" spans="1:18">
      <c r="A6" t="s">
        <v>362</v>
      </c>
      <c r="B6" t="s">
        <v>295</v>
      </c>
      <c r="C6" s="53">
        <v>134900000</v>
      </c>
      <c r="D6" s="8">
        <f t="shared" si="0"/>
        <v>2.698</v>
      </c>
      <c r="E6" s="8">
        <f t="shared" si="1"/>
        <v>3.6153200000000001</v>
      </c>
      <c r="F6" s="25">
        <v>1</v>
      </c>
      <c r="G6" t="s">
        <v>581</v>
      </c>
      <c r="H6">
        <f>40*F6</f>
        <v>40</v>
      </c>
      <c r="I6" t="s">
        <v>582</v>
      </c>
    </row>
    <row r="7" spans="1:18">
      <c r="A7" t="s">
        <v>363</v>
      </c>
      <c r="B7" t="s">
        <v>291</v>
      </c>
      <c r="C7" s="53">
        <v>123249000</v>
      </c>
      <c r="D7" s="8">
        <f t="shared" si="0"/>
        <v>2.4649800000000002</v>
      </c>
      <c r="E7" s="8">
        <f t="shared" si="1"/>
        <v>3.3030732</v>
      </c>
    </row>
    <row r="8" spans="1:18">
      <c r="A8" t="s">
        <v>364</v>
      </c>
      <c r="B8" t="s">
        <v>293</v>
      </c>
      <c r="C8" s="53">
        <v>63366060</v>
      </c>
      <c r="D8" s="8">
        <f t="shared" si="0"/>
        <v>1.2673212</v>
      </c>
      <c r="E8" s="8">
        <f t="shared" si="1"/>
        <v>1.698210408</v>
      </c>
      <c r="I8" t="s">
        <v>585</v>
      </c>
      <c r="P8" s="64"/>
    </row>
    <row r="9" spans="1:18">
      <c r="A9" t="s">
        <v>365</v>
      </c>
      <c r="B9" t="s">
        <v>292</v>
      </c>
      <c r="C9" s="53">
        <v>51300000</v>
      </c>
      <c r="D9" s="8">
        <f t="shared" si="0"/>
        <v>1.026</v>
      </c>
      <c r="E9" s="8">
        <f t="shared" si="1"/>
        <v>1.3748400000000001</v>
      </c>
      <c r="G9" t="s">
        <v>299</v>
      </c>
      <c r="H9" t="s">
        <v>380</v>
      </c>
      <c r="I9" t="s">
        <v>579</v>
      </c>
      <c r="J9" t="s">
        <v>580</v>
      </c>
      <c r="K9" t="s">
        <v>586</v>
      </c>
      <c r="L9" t="s">
        <v>587</v>
      </c>
    </row>
    <row r="10" spans="1:18">
      <c r="A10" t="s">
        <v>366</v>
      </c>
      <c r="B10" t="s">
        <v>296</v>
      </c>
      <c r="C10" s="53">
        <v>40500000</v>
      </c>
      <c r="D10" s="8">
        <f t="shared" si="0"/>
        <v>0.81</v>
      </c>
      <c r="E10" s="8">
        <f t="shared" si="1"/>
        <v>1.0853999999999999</v>
      </c>
      <c r="G10" t="s">
        <v>293</v>
      </c>
      <c r="H10">
        <f t="shared" ref="H10:H18" si="2">SUMIF($B$4:$B$225,$G10,$C$4:$C$225)</f>
        <v>153176380</v>
      </c>
      <c r="I10" s="8">
        <f>SUMIF($B$4:$B$225,$G10,$D$4:$D$225)</f>
        <v>3.0635276000000005</v>
      </c>
      <c r="J10" s="8">
        <f>SUMIF($B$4:$B$225,$G10,$E$4:$E$225)</f>
        <v>4.1051269840000009</v>
      </c>
      <c r="K10" s="8">
        <f>J10-I10</f>
        <v>1.0415993840000004</v>
      </c>
      <c r="L10" s="8">
        <f>(J10+I10)/2</f>
        <v>3.5843272920000007</v>
      </c>
      <c r="M10" t="s">
        <v>315</v>
      </c>
      <c r="P10" t="s">
        <v>761</v>
      </c>
    </row>
    <row r="11" spans="1:18">
      <c r="A11" t="s">
        <v>367</v>
      </c>
      <c r="B11" t="s">
        <v>293</v>
      </c>
      <c r="C11" s="53">
        <v>40200000</v>
      </c>
      <c r="D11" s="8">
        <f t="shared" si="0"/>
        <v>0.80400000000000005</v>
      </c>
      <c r="E11" s="8">
        <f t="shared" si="1"/>
        <v>1.0773600000000001</v>
      </c>
      <c r="G11" t="s">
        <v>290</v>
      </c>
      <c r="H11">
        <f t="shared" si="2"/>
        <v>225363200</v>
      </c>
      <c r="I11" s="8">
        <f t="shared" ref="I11:I18" si="3">SUMIF($B$4:$B$225,$G11,$D$4:$D$225)</f>
        <v>4.5072640000000002</v>
      </c>
      <c r="J11" s="8">
        <f t="shared" ref="J11:J18" si="4">SUMIF($B$4:$B$225,$G11,$E$4:$E$225)</f>
        <v>6.0397337599999998</v>
      </c>
      <c r="K11" s="8">
        <f t="shared" ref="K11:K18" si="5">J11-I11</f>
        <v>1.5324697599999997</v>
      </c>
      <c r="L11" s="8">
        <f t="shared" ref="L11:L18" si="6">(J11+I11)/2</f>
        <v>5.27349888</v>
      </c>
      <c r="M11" t="s">
        <v>290</v>
      </c>
      <c r="Q11" s="8">
        <f>L19</f>
        <v>36.263126249999999</v>
      </c>
    </row>
    <row r="12" spans="1:18">
      <c r="A12" t="s">
        <v>368</v>
      </c>
      <c r="B12" t="s">
        <v>290</v>
      </c>
      <c r="C12" s="53">
        <v>38352400</v>
      </c>
      <c r="D12" s="8">
        <f t="shared" si="0"/>
        <v>0.76704799999999995</v>
      </c>
      <c r="E12" s="8">
        <f t="shared" si="1"/>
        <v>1.02784432</v>
      </c>
      <c r="G12" t="s">
        <v>292</v>
      </c>
      <c r="H12">
        <f t="shared" si="2"/>
        <v>152750500</v>
      </c>
      <c r="I12" s="8">
        <f t="shared" si="3"/>
        <v>3.0550099999999998</v>
      </c>
      <c r="J12" s="8">
        <f t="shared" si="4"/>
        <v>4.0937134000000004</v>
      </c>
      <c r="K12" s="8">
        <f t="shared" si="5"/>
        <v>1.0387034000000006</v>
      </c>
      <c r="L12" s="8">
        <f t="shared" si="6"/>
        <v>3.5743616999999999</v>
      </c>
      <c r="M12" t="s">
        <v>314</v>
      </c>
      <c r="P12">
        <v>0.5</v>
      </c>
      <c r="Q12">
        <f t="dataTable" ref="Q12:Q16" dt2D="0" dtr="0" r1="F6"/>
        <v>18.131563125</v>
      </c>
      <c r="R12">
        <f>Q12/Q$11</f>
        <v>0.5</v>
      </c>
    </row>
    <row r="13" spans="1:18">
      <c r="A13" t="s">
        <v>369</v>
      </c>
      <c r="B13" t="s">
        <v>294</v>
      </c>
      <c r="C13" s="53">
        <v>33669000</v>
      </c>
      <c r="D13" s="8">
        <f t="shared" si="0"/>
        <v>0.67337999999999998</v>
      </c>
      <c r="E13" s="8">
        <f t="shared" si="1"/>
        <v>0.90232920000000005</v>
      </c>
      <c r="G13" t="s">
        <v>295</v>
      </c>
      <c r="H13">
        <f t="shared" si="2"/>
        <v>144116900</v>
      </c>
      <c r="I13" s="8">
        <f t="shared" si="3"/>
        <v>2.8823380000000003</v>
      </c>
      <c r="J13" s="8">
        <f t="shared" si="4"/>
        <v>3.8623329200000001</v>
      </c>
      <c r="K13" s="8">
        <f t="shared" si="5"/>
        <v>0.97999491999999977</v>
      </c>
      <c r="L13" s="8">
        <f t="shared" si="6"/>
        <v>3.3723354600000004</v>
      </c>
      <c r="M13" t="s">
        <v>295</v>
      </c>
      <c r="P13">
        <v>0.75</v>
      </c>
      <c r="Q13">
        <v>27.197344687499999</v>
      </c>
      <c r="R13">
        <f t="shared" ref="R13:R16" si="7">Q13/Q$11</f>
        <v>0.75</v>
      </c>
    </row>
    <row r="14" spans="1:18">
      <c r="A14" t="s">
        <v>370</v>
      </c>
      <c r="B14" t="s">
        <v>298</v>
      </c>
      <c r="C14" s="53">
        <v>32003000</v>
      </c>
      <c r="D14" s="8">
        <f t="shared" si="0"/>
        <v>0.64005999999999996</v>
      </c>
      <c r="E14" s="8">
        <f t="shared" si="1"/>
        <v>0.85768040000000001</v>
      </c>
      <c r="G14" t="s">
        <v>298</v>
      </c>
      <c r="H14">
        <f t="shared" si="2"/>
        <v>222589030</v>
      </c>
      <c r="I14" s="8">
        <f t="shared" si="3"/>
        <v>4.4517806000000002</v>
      </c>
      <c r="J14" s="8">
        <f t="shared" si="4"/>
        <v>5.965386004</v>
      </c>
      <c r="K14" s="8">
        <f t="shared" si="5"/>
        <v>1.5136054039999998</v>
      </c>
      <c r="L14" s="8">
        <f t="shared" si="6"/>
        <v>5.2085833020000001</v>
      </c>
      <c r="M14" t="s">
        <v>313</v>
      </c>
      <c r="P14">
        <v>1</v>
      </c>
      <c r="Q14">
        <v>36.263126249999999</v>
      </c>
      <c r="R14">
        <f t="shared" si="7"/>
        <v>1</v>
      </c>
    </row>
    <row r="15" spans="1:18">
      <c r="A15" t="s">
        <v>371</v>
      </c>
      <c r="B15" t="s">
        <v>292</v>
      </c>
      <c r="C15" s="53">
        <v>31074000</v>
      </c>
      <c r="D15" s="8">
        <f t="shared" si="0"/>
        <v>0.62148000000000003</v>
      </c>
      <c r="E15" s="8">
        <f t="shared" si="1"/>
        <v>0.83278319999999995</v>
      </c>
      <c r="G15" t="s">
        <v>296</v>
      </c>
      <c r="H15">
        <f t="shared" si="2"/>
        <v>235593760</v>
      </c>
      <c r="I15" s="8">
        <f t="shared" si="3"/>
        <v>4.711875199999997</v>
      </c>
      <c r="J15" s="8">
        <f t="shared" si="4"/>
        <v>6.3139127680000016</v>
      </c>
      <c r="K15" s="8">
        <f t="shared" si="5"/>
        <v>1.6020375680000045</v>
      </c>
      <c r="L15" s="8">
        <f t="shared" si="6"/>
        <v>5.5128939839999997</v>
      </c>
      <c r="M15" t="s">
        <v>312</v>
      </c>
      <c r="P15">
        <v>1.25</v>
      </c>
      <c r="Q15">
        <v>45.328907812499999</v>
      </c>
      <c r="R15">
        <f t="shared" si="7"/>
        <v>1.25</v>
      </c>
    </row>
    <row r="16" spans="1:18">
      <c r="A16" t="s">
        <v>372</v>
      </c>
      <c r="B16" t="s">
        <v>291</v>
      </c>
      <c r="C16" s="53">
        <v>29527000</v>
      </c>
      <c r="D16" s="8">
        <f t="shared" si="0"/>
        <v>0.59053999999999995</v>
      </c>
      <c r="E16" s="8">
        <f t="shared" si="1"/>
        <v>0.79132360000000002</v>
      </c>
      <c r="G16" t="s">
        <v>297</v>
      </c>
      <c r="H16">
        <f t="shared" si="2"/>
        <v>65472340</v>
      </c>
      <c r="I16" s="8">
        <f t="shared" si="3"/>
        <v>1.3094468000000004</v>
      </c>
      <c r="J16" s="8">
        <f t="shared" si="4"/>
        <v>1.7546587120000001</v>
      </c>
      <c r="K16" s="8">
        <f t="shared" si="5"/>
        <v>0.44521191199999977</v>
      </c>
      <c r="L16" s="8">
        <f t="shared" si="6"/>
        <v>1.5320527560000001</v>
      </c>
      <c r="M16" t="s">
        <v>311</v>
      </c>
      <c r="P16">
        <v>1.5</v>
      </c>
      <c r="Q16">
        <v>54.394689374999999</v>
      </c>
      <c r="R16">
        <f t="shared" si="7"/>
        <v>1.5</v>
      </c>
    </row>
    <row r="17" spans="1:13">
      <c r="A17" t="s">
        <v>373</v>
      </c>
      <c r="B17" t="s">
        <v>290</v>
      </c>
      <c r="C17" s="53">
        <v>26574000</v>
      </c>
      <c r="D17" s="8">
        <f t="shared" si="0"/>
        <v>0.53147999999999995</v>
      </c>
      <c r="E17" s="8">
        <f t="shared" si="1"/>
        <v>0.71218320000000002</v>
      </c>
      <c r="G17" t="s">
        <v>291</v>
      </c>
      <c r="H17">
        <f t="shared" si="2"/>
        <v>167266500</v>
      </c>
      <c r="I17" s="8">
        <f t="shared" si="3"/>
        <v>3.3453300000000001</v>
      </c>
      <c r="J17" s="8">
        <f t="shared" si="4"/>
        <v>4.4827422000000006</v>
      </c>
      <c r="K17" s="8">
        <f t="shared" si="5"/>
        <v>1.1374122000000004</v>
      </c>
      <c r="L17" s="8">
        <f t="shared" si="6"/>
        <v>3.9140361000000006</v>
      </c>
      <c r="M17" t="s">
        <v>291</v>
      </c>
    </row>
    <row r="18" spans="1:13">
      <c r="A18" t="s">
        <v>374</v>
      </c>
      <c r="B18" t="s">
        <v>294</v>
      </c>
      <c r="C18" s="53">
        <v>23384000</v>
      </c>
      <c r="D18" s="8">
        <f t="shared" si="0"/>
        <v>0.46767999999999998</v>
      </c>
      <c r="E18" s="8">
        <f t="shared" si="1"/>
        <v>0.6266912</v>
      </c>
      <c r="G18" t="s">
        <v>294</v>
      </c>
      <c r="H18">
        <f t="shared" si="2"/>
        <v>183377640</v>
      </c>
      <c r="I18" s="8">
        <f t="shared" si="3"/>
        <v>3.6675527999999997</v>
      </c>
      <c r="J18" s="8">
        <f t="shared" si="4"/>
        <v>4.9145207519999987</v>
      </c>
      <c r="K18" s="8">
        <f t="shared" si="5"/>
        <v>1.246967951999999</v>
      </c>
      <c r="L18" s="8">
        <f t="shared" si="6"/>
        <v>4.2910367759999994</v>
      </c>
      <c r="M18" t="s">
        <v>294</v>
      </c>
    </row>
    <row r="19" spans="1:13">
      <c r="A19" t="s">
        <v>375</v>
      </c>
      <c r="B19" t="s">
        <v>292</v>
      </c>
      <c r="C19" s="53">
        <v>21310000</v>
      </c>
      <c r="D19" s="8">
        <f t="shared" si="0"/>
        <v>0.42620000000000002</v>
      </c>
      <c r="E19" s="8">
        <f t="shared" si="1"/>
        <v>0.57110799999999995</v>
      </c>
      <c r="G19" s="54" t="s">
        <v>240</v>
      </c>
      <c r="H19" s="54">
        <f>SUM(H10:H18)</f>
        <v>1549706250</v>
      </c>
      <c r="I19" s="55">
        <f t="shared" ref="I19:L19" si="8">SUM(I10:I18)</f>
        <v>30.994125</v>
      </c>
      <c r="J19" s="55">
        <f t="shared" si="8"/>
        <v>41.532127500000001</v>
      </c>
      <c r="L19" s="55">
        <f t="shared" si="8"/>
        <v>36.263126249999999</v>
      </c>
    </row>
    <row r="20" spans="1:13">
      <c r="A20" t="s">
        <v>376</v>
      </c>
      <c r="B20" t="s">
        <v>296</v>
      </c>
      <c r="C20" s="53">
        <v>19991160</v>
      </c>
      <c r="D20" s="8">
        <f t="shared" si="0"/>
        <v>0.39982319999999999</v>
      </c>
      <c r="E20" s="8">
        <f t="shared" si="1"/>
        <v>0.53576308800000005</v>
      </c>
    </row>
    <row r="21" spans="1:13">
      <c r="A21" t="s">
        <v>377</v>
      </c>
      <c r="B21" t="s">
        <v>294</v>
      </c>
      <c r="C21" s="53">
        <v>19463780</v>
      </c>
      <c r="D21" s="8">
        <f t="shared" si="0"/>
        <v>0.3892756</v>
      </c>
      <c r="E21" s="8">
        <f t="shared" si="1"/>
        <v>0.52162930399999996</v>
      </c>
    </row>
    <row r="22" spans="1:13">
      <c r="A22" t="s">
        <v>378</v>
      </c>
      <c r="B22" t="s">
        <v>296</v>
      </c>
      <c r="C22" s="53">
        <v>17818000</v>
      </c>
      <c r="D22" s="8">
        <f t="shared" si="0"/>
        <v>0.35636000000000001</v>
      </c>
      <c r="E22" s="8">
        <f t="shared" si="1"/>
        <v>0.47752240000000001</v>
      </c>
    </row>
    <row r="23" spans="1:13">
      <c r="A23" t="s">
        <v>243</v>
      </c>
      <c r="B23" t="s">
        <v>296</v>
      </c>
      <c r="C23" s="53">
        <v>17540100</v>
      </c>
      <c r="D23" s="8">
        <f t="shared" si="0"/>
        <v>0.350802</v>
      </c>
      <c r="E23" s="8">
        <f t="shared" si="1"/>
        <v>0.47007468000000002</v>
      </c>
    </row>
    <row r="24" spans="1:13">
      <c r="A24" t="s">
        <v>78</v>
      </c>
      <c r="B24" t="s">
        <v>294</v>
      </c>
      <c r="C24" s="53">
        <v>16985170</v>
      </c>
      <c r="D24" s="8">
        <f t="shared" si="0"/>
        <v>0.33970339999999999</v>
      </c>
      <c r="E24" s="8">
        <f t="shared" si="1"/>
        <v>0.45520255599999998</v>
      </c>
    </row>
    <row r="25" spans="1:13">
      <c r="A25" t="s">
        <v>379</v>
      </c>
      <c r="B25" t="s">
        <v>297</v>
      </c>
      <c r="C25" s="53">
        <v>16477000</v>
      </c>
      <c r="D25" s="8">
        <f t="shared" si="0"/>
        <v>0.32954</v>
      </c>
      <c r="E25" s="8">
        <f t="shared" si="1"/>
        <v>0.44158360000000002</v>
      </c>
    </row>
    <row r="26" spans="1:13">
      <c r="A26" t="s">
        <v>381</v>
      </c>
      <c r="B26" t="s">
        <v>296</v>
      </c>
      <c r="C26" s="53">
        <v>15650000</v>
      </c>
      <c r="D26" s="8">
        <f t="shared" si="0"/>
        <v>0.313</v>
      </c>
      <c r="E26" s="8">
        <f t="shared" si="1"/>
        <v>0.41942000000000002</v>
      </c>
    </row>
    <row r="27" spans="1:13">
      <c r="A27" t="s">
        <v>382</v>
      </c>
      <c r="B27" t="s">
        <v>296</v>
      </c>
      <c r="C27" s="53">
        <v>13300000</v>
      </c>
      <c r="D27" s="8">
        <f t="shared" si="0"/>
        <v>0.26600000000000001</v>
      </c>
      <c r="E27" s="8">
        <f t="shared" si="1"/>
        <v>0.35643999999999998</v>
      </c>
    </row>
    <row r="28" spans="1:13">
      <c r="A28" t="s">
        <v>383</v>
      </c>
      <c r="B28" t="s">
        <v>292</v>
      </c>
      <c r="C28" s="53">
        <v>12571600</v>
      </c>
      <c r="D28" s="8">
        <f t="shared" si="0"/>
        <v>0.25143199999999999</v>
      </c>
      <c r="E28" s="8">
        <f t="shared" si="1"/>
        <v>0.33691887999999998</v>
      </c>
    </row>
    <row r="29" spans="1:13">
      <c r="A29" t="s">
        <v>252</v>
      </c>
      <c r="B29" t="s">
        <v>296</v>
      </c>
      <c r="C29" s="53">
        <v>12413000</v>
      </c>
      <c r="D29" s="8">
        <f t="shared" si="0"/>
        <v>0.24826000000000001</v>
      </c>
      <c r="E29" s="8">
        <f t="shared" si="1"/>
        <v>0.33266839999999998</v>
      </c>
    </row>
    <row r="30" spans="1:13">
      <c r="A30" t="s">
        <v>384</v>
      </c>
      <c r="B30" t="s">
        <v>294</v>
      </c>
      <c r="C30" s="53">
        <v>11971000</v>
      </c>
      <c r="D30" s="8">
        <f t="shared" si="0"/>
        <v>0.23941999999999999</v>
      </c>
      <c r="E30" s="8">
        <f t="shared" si="1"/>
        <v>0.32082280000000002</v>
      </c>
    </row>
    <row r="31" spans="1:13">
      <c r="A31" t="s">
        <v>385</v>
      </c>
      <c r="B31" t="s">
        <v>292</v>
      </c>
      <c r="C31" s="53">
        <v>11526800</v>
      </c>
      <c r="D31" s="8">
        <f t="shared" si="0"/>
        <v>0.23053599999999999</v>
      </c>
      <c r="E31" s="8">
        <f t="shared" si="1"/>
        <v>0.30891824000000001</v>
      </c>
    </row>
    <row r="32" spans="1:13">
      <c r="A32" t="s">
        <v>386</v>
      </c>
      <c r="B32" t="s">
        <v>294</v>
      </c>
      <c r="C32" s="53">
        <v>11291000</v>
      </c>
      <c r="D32" s="8">
        <f t="shared" si="0"/>
        <v>0.22581999999999999</v>
      </c>
      <c r="E32" s="8">
        <f t="shared" si="1"/>
        <v>0.3025988</v>
      </c>
    </row>
    <row r="33" spans="1:5">
      <c r="A33" t="s">
        <v>387</v>
      </c>
      <c r="B33" t="s">
        <v>292</v>
      </c>
      <c r="C33" s="53">
        <v>10940000</v>
      </c>
      <c r="D33" s="8">
        <f t="shared" si="0"/>
        <v>0.21879999999999999</v>
      </c>
      <c r="E33" s="8">
        <f t="shared" si="1"/>
        <v>0.29319200000000001</v>
      </c>
    </row>
    <row r="34" spans="1:5">
      <c r="A34" t="s">
        <v>388</v>
      </c>
      <c r="B34" t="s">
        <v>297</v>
      </c>
      <c r="C34" s="53">
        <v>9386000</v>
      </c>
      <c r="D34" s="8">
        <f t="shared" si="0"/>
        <v>0.18772</v>
      </c>
      <c r="E34" s="8">
        <f t="shared" si="1"/>
        <v>0.25154480000000001</v>
      </c>
    </row>
    <row r="35" spans="1:5">
      <c r="A35" t="s">
        <v>79</v>
      </c>
      <c r="B35" t="s">
        <v>294</v>
      </c>
      <c r="C35" s="53">
        <v>9218270</v>
      </c>
      <c r="D35" s="8">
        <f t="shared" si="0"/>
        <v>0.18436540000000001</v>
      </c>
      <c r="E35" s="8">
        <f t="shared" si="1"/>
        <v>0.24704963599999999</v>
      </c>
    </row>
    <row r="36" spans="1:5">
      <c r="A36" t="s">
        <v>389</v>
      </c>
      <c r="B36" t="s">
        <v>296</v>
      </c>
      <c r="C36" s="53">
        <v>9100000</v>
      </c>
      <c r="D36" s="8">
        <f t="shared" si="0"/>
        <v>0.182</v>
      </c>
      <c r="E36" s="8">
        <f t="shared" si="1"/>
        <v>0.24388000000000001</v>
      </c>
    </row>
    <row r="37" spans="1:5">
      <c r="A37" t="s">
        <v>390</v>
      </c>
      <c r="B37" t="s">
        <v>294</v>
      </c>
      <c r="C37" s="53">
        <v>8958000</v>
      </c>
      <c r="D37" s="8">
        <f t="shared" si="0"/>
        <v>0.17916000000000001</v>
      </c>
      <c r="E37" s="8">
        <f t="shared" si="1"/>
        <v>0.24007439999999999</v>
      </c>
    </row>
    <row r="38" spans="1:5">
      <c r="A38" t="s">
        <v>391</v>
      </c>
      <c r="B38" t="s">
        <v>298</v>
      </c>
      <c r="C38" s="53">
        <v>8587330</v>
      </c>
      <c r="D38" s="8">
        <f t="shared" si="0"/>
        <v>0.1717466</v>
      </c>
      <c r="E38" s="8">
        <f t="shared" si="1"/>
        <v>0.230140444</v>
      </c>
    </row>
    <row r="39" spans="1:5">
      <c r="A39" t="s">
        <v>392</v>
      </c>
      <c r="B39" t="s">
        <v>297</v>
      </c>
      <c r="C39" s="53">
        <v>8483430</v>
      </c>
      <c r="D39" s="8">
        <f t="shared" si="0"/>
        <v>0.1696686</v>
      </c>
      <c r="E39" s="8">
        <f t="shared" si="1"/>
        <v>0.22735592399999999</v>
      </c>
    </row>
    <row r="40" spans="1:5">
      <c r="A40" t="s">
        <v>393</v>
      </c>
      <c r="B40" t="s">
        <v>292</v>
      </c>
      <c r="C40" s="53">
        <v>8305200</v>
      </c>
      <c r="D40" s="8">
        <f t="shared" si="0"/>
        <v>0.166104</v>
      </c>
      <c r="E40" s="8">
        <f t="shared" si="1"/>
        <v>0.22257936</v>
      </c>
    </row>
    <row r="41" spans="1:5">
      <c r="A41" t="s">
        <v>394</v>
      </c>
      <c r="B41" t="s">
        <v>296</v>
      </c>
      <c r="C41" s="53">
        <v>8000000</v>
      </c>
      <c r="D41" s="8">
        <f t="shared" si="0"/>
        <v>0.16</v>
      </c>
      <c r="E41" s="8">
        <f t="shared" si="1"/>
        <v>0.21440000000000001</v>
      </c>
    </row>
    <row r="42" spans="1:5">
      <c r="A42" t="s">
        <v>395</v>
      </c>
      <c r="B42" t="s">
        <v>298</v>
      </c>
      <c r="C42" s="53">
        <v>7910000</v>
      </c>
      <c r="D42" s="8">
        <f t="shared" si="0"/>
        <v>0.15820000000000001</v>
      </c>
      <c r="E42" s="8">
        <f t="shared" si="1"/>
        <v>0.21198800000000001</v>
      </c>
    </row>
    <row r="43" spans="1:5">
      <c r="A43" t="s">
        <v>396</v>
      </c>
      <c r="B43" t="s">
        <v>296</v>
      </c>
      <c r="C43" s="53">
        <v>7750000</v>
      </c>
      <c r="D43" s="8">
        <f t="shared" si="0"/>
        <v>0.155</v>
      </c>
      <c r="E43" s="8">
        <f t="shared" si="1"/>
        <v>0.2077</v>
      </c>
    </row>
    <row r="44" spans="1:5">
      <c r="A44" t="s">
        <v>397</v>
      </c>
      <c r="B44" t="s">
        <v>296</v>
      </c>
      <c r="C44" s="53">
        <v>7400000</v>
      </c>
      <c r="D44" s="8">
        <f t="shared" si="0"/>
        <v>0.14799999999999999</v>
      </c>
      <c r="E44" s="8">
        <f t="shared" si="1"/>
        <v>0.19832</v>
      </c>
    </row>
    <row r="45" spans="1:5">
      <c r="A45" t="s">
        <v>398</v>
      </c>
      <c r="B45" t="s">
        <v>296</v>
      </c>
      <c r="C45" s="53">
        <v>6561000</v>
      </c>
      <c r="D45" s="8">
        <f t="shared" si="0"/>
        <v>0.13122</v>
      </c>
      <c r="E45" s="8">
        <f t="shared" si="1"/>
        <v>0.17583480000000001</v>
      </c>
    </row>
    <row r="46" spans="1:5">
      <c r="A46" t="s">
        <v>399</v>
      </c>
      <c r="B46" t="s">
        <v>296</v>
      </c>
      <c r="C46" s="53">
        <v>6330000</v>
      </c>
      <c r="D46" s="8">
        <f t="shared" si="0"/>
        <v>0.12659999999999999</v>
      </c>
      <c r="E46" s="8">
        <f t="shared" si="1"/>
        <v>0.16964399999999999</v>
      </c>
    </row>
    <row r="47" spans="1:5">
      <c r="A47" t="s">
        <v>400</v>
      </c>
      <c r="B47" t="s">
        <v>294</v>
      </c>
      <c r="C47" s="53">
        <v>6130590</v>
      </c>
      <c r="D47" s="8">
        <f t="shared" si="0"/>
        <v>0.12261180000000001</v>
      </c>
      <c r="E47" s="8">
        <f t="shared" si="1"/>
        <v>0.16429981199999999</v>
      </c>
    </row>
    <row r="48" spans="1:5">
      <c r="A48" t="s">
        <v>401</v>
      </c>
      <c r="C48" s="53">
        <v>6100000</v>
      </c>
      <c r="D48" s="8">
        <f t="shared" si="0"/>
        <v>0.122</v>
      </c>
      <c r="E48" s="8">
        <f t="shared" si="1"/>
        <v>0.16347999999999999</v>
      </c>
    </row>
    <row r="49" spans="1:5">
      <c r="A49" t="s">
        <v>402</v>
      </c>
      <c r="B49" t="s">
        <v>296</v>
      </c>
      <c r="C49" s="53">
        <v>5950000</v>
      </c>
      <c r="D49" s="8">
        <f t="shared" si="0"/>
        <v>0.11899999999999999</v>
      </c>
      <c r="E49" s="8">
        <f t="shared" si="1"/>
        <v>0.15945999999999999</v>
      </c>
    </row>
    <row r="50" spans="1:5">
      <c r="A50" t="s">
        <v>403</v>
      </c>
      <c r="B50" t="s">
        <v>291</v>
      </c>
      <c r="C50" s="53">
        <v>5841000</v>
      </c>
      <c r="D50" s="8">
        <f t="shared" si="0"/>
        <v>0.11681999999999999</v>
      </c>
      <c r="E50" s="8">
        <f t="shared" si="1"/>
        <v>0.15653880000000001</v>
      </c>
    </row>
    <row r="51" spans="1:5">
      <c r="A51" t="s">
        <v>404</v>
      </c>
      <c r="B51" t="s">
        <v>297</v>
      </c>
      <c r="C51" s="53">
        <v>5733000</v>
      </c>
      <c r="D51" s="8">
        <f t="shared" si="0"/>
        <v>0.11466</v>
      </c>
      <c r="E51" s="8">
        <f t="shared" si="1"/>
        <v>0.15364439999999999</v>
      </c>
    </row>
    <row r="52" spans="1:5">
      <c r="A52" t="s">
        <v>405</v>
      </c>
      <c r="B52" t="s">
        <v>297</v>
      </c>
      <c r="C52" s="53">
        <v>5400000</v>
      </c>
      <c r="D52" s="8">
        <f t="shared" si="0"/>
        <v>0.108</v>
      </c>
      <c r="E52" s="8">
        <f t="shared" si="1"/>
        <v>0.14471999999999999</v>
      </c>
    </row>
    <row r="53" spans="1:5">
      <c r="A53" t="s">
        <v>406</v>
      </c>
      <c r="B53" t="s">
        <v>296</v>
      </c>
      <c r="C53" s="53">
        <v>5238000</v>
      </c>
      <c r="D53" s="8">
        <f t="shared" si="0"/>
        <v>0.10476000000000001</v>
      </c>
      <c r="E53" s="8">
        <f t="shared" si="1"/>
        <v>0.14037839999999999</v>
      </c>
    </row>
    <row r="54" spans="1:5">
      <c r="A54" t="s">
        <v>407</v>
      </c>
      <c r="B54" t="s">
        <v>296</v>
      </c>
      <c r="C54" s="53">
        <v>5215000</v>
      </c>
      <c r="D54" s="8">
        <f t="shared" si="0"/>
        <v>0.1043</v>
      </c>
      <c r="E54" s="8">
        <f t="shared" si="1"/>
        <v>0.139762</v>
      </c>
    </row>
    <row r="55" spans="1:5">
      <c r="A55" t="s">
        <v>408</v>
      </c>
      <c r="B55" t="s">
        <v>297</v>
      </c>
      <c r="C55" s="53">
        <v>4993000</v>
      </c>
      <c r="D55" s="8">
        <f t="shared" si="0"/>
        <v>9.9860000000000004E-2</v>
      </c>
      <c r="E55" s="8">
        <f t="shared" si="1"/>
        <v>0.1338124</v>
      </c>
    </row>
    <row r="56" spans="1:5">
      <c r="A56" t="s">
        <v>409</v>
      </c>
      <c r="B56" t="s">
        <v>293</v>
      </c>
      <c r="C56" s="53">
        <v>4949000</v>
      </c>
      <c r="D56" s="8">
        <f t="shared" si="0"/>
        <v>9.8979999999999999E-2</v>
      </c>
      <c r="E56" s="8">
        <f t="shared" si="1"/>
        <v>0.13263320000000001</v>
      </c>
    </row>
    <row r="57" spans="1:5">
      <c r="A57" t="s">
        <v>410</v>
      </c>
      <c r="B57" t="s">
        <v>293</v>
      </c>
      <c r="C57" s="53">
        <v>4867000</v>
      </c>
      <c r="D57" s="8">
        <f t="shared" si="0"/>
        <v>9.7339999999999996E-2</v>
      </c>
      <c r="E57" s="8">
        <f t="shared" si="1"/>
        <v>0.13043560000000001</v>
      </c>
    </row>
    <row r="58" spans="1:5">
      <c r="A58" t="s">
        <v>411</v>
      </c>
      <c r="B58" t="s">
        <v>294</v>
      </c>
      <c r="C58" s="53">
        <v>4499000</v>
      </c>
      <c r="D58" s="8">
        <f t="shared" si="0"/>
        <v>8.9980000000000004E-2</v>
      </c>
      <c r="E58" s="8">
        <f t="shared" si="1"/>
        <v>0.12057320000000001</v>
      </c>
    </row>
    <row r="59" spans="1:5">
      <c r="A59" t="s">
        <v>412</v>
      </c>
      <c r="B59" t="s">
        <v>293</v>
      </c>
      <c r="C59" s="53">
        <v>4488000</v>
      </c>
      <c r="D59" s="8">
        <f t="shared" si="0"/>
        <v>8.9760000000000006E-2</v>
      </c>
      <c r="E59" s="8">
        <f t="shared" si="1"/>
        <v>0.12027839999999999</v>
      </c>
    </row>
    <row r="60" spans="1:5">
      <c r="A60" t="s">
        <v>413</v>
      </c>
      <c r="B60" t="s">
        <v>295</v>
      </c>
      <c r="C60" s="53">
        <v>4444000</v>
      </c>
      <c r="D60" s="8">
        <f t="shared" si="0"/>
        <v>8.8880000000000001E-2</v>
      </c>
      <c r="E60" s="8">
        <f t="shared" si="1"/>
        <v>0.1190992</v>
      </c>
    </row>
    <row r="61" spans="1:5">
      <c r="A61" t="s">
        <v>414</v>
      </c>
      <c r="B61" t="s">
        <v>291</v>
      </c>
      <c r="C61" s="53">
        <v>4418000</v>
      </c>
      <c r="D61" s="8">
        <f t="shared" si="0"/>
        <v>8.8359999999999994E-2</v>
      </c>
      <c r="E61" s="8">
        <f t="shared" si="1"/>
        <v>0.1184024</v>
      </c>
    </row>
    <row r="62" spans="1:5">
      <c r="A62" t="s">
        <v>415</v>
      </c>
      <c r="B62" t="s">
        <v>296</v>
      </c>
      <c r="C62" s="53">
        <v>4100000</v>
      </c>
      <c r="D62" s="8">
        <f t="shared" si="0"/>
        <v>8.2000000000000003E-2</v>
      </c>
      <c r="E62" s="8">
        <f t="shared" si="1"/>
        <v>0.10988000000000001</v>
      </c>
    </row>
    <row r="63" spans="1:5">
      <c r="A63" t="s">
        <v>416</v>
      </c>
      <c r="B63" t="s">
        <v>293</v>
      </c>
      <c r="C63" s="53">
        <v>4066000</v>
      </c>
      <c r="D63" s="8">
        <f t="shared" si="0"/>
        <v>8.1320000000000003E-2</v>
      </c>
      <c r="E63" s="8">
        <f t="shared" si="1"/>
        <v>0.1089688</v>
      </c>
    </row>
    <row r="64" spans="1:5">
      <c r="A64" t="s">
        <v>417</v>
      </c>
      <c r="B64" t="s">
        <v>296</v>
      </c>
      <c r="C64" s="53">
        <v>3836000</v>
      </c>
      <c r="D64" s="8">
        <f t="shared" si="0"/>
        <v>7.6719999999999997E-2</v>
      </c>
      <c r="E64" s="8">
        <f t="shared" si="1"/>
        <v>0.1028048</v>
      </c>
    </row>
    <row r="65" spans="1:5">
      <c r="A65" t="s">
        <v>418</v>
      </c>
      <c r="B65" t="s">
        <v>293</v>
      </c>
      <c r="C65" s="53">
        <v>3819000</v>
      </c>
      <c r="D65" s="8">
        <f t="shared" si="0"/>
        <v>7.6380000000000003E-2</v>
      </c>
      <c r="E65" s="8">
        <f t="shared" si="1"/>
        <v>0.1023492</v>
      </c>
    </row>
    <row r="66" spans="1:5">
      <c r="A66" t="s">
        <v>419</v>
      </c>
      <c r="B66" t="s">
        <v>293</v>
      </c>
      <c r="C66" s="53">
        <v>3800000</v>
      </c>
      <c r="D66" s="8">
        <f t="shared" si="0"/>
        <v>7.5999999999999998E-2</v>
      </c>
      <c r="E66" s="8">
        <f t="shared" si="1"/>
        <v>0.10184</v>
      </c>
    </row>
    <row r="67" spans="1:5">
      <c r="A67" t="s">
        <v>420</v>
      </c>
      <c r="B67" t="s">
        <v>296</v>
      </c>
      <c r="C67" s="53">
        <v>3800000</v>
      </c>
      <c r="D67" s="8">
        <f t="shared" si="0"/>
        <v>7.5999999999999998E-2</v>
      </c>
      <c r="E67" s="8">
        <f t="shared" si="1"/>
        <v>0.10184</v>
      </c>
    </row>
    <row r="68" spans="1:5">
      <c r="A68" t="s">
        <v>421</v>
      </c>
      <c r="B68" t="s">
        <v>297</v>
      </c>
      <c r="C68" s="53">
        <v>3733770</v>
      </c>
      <c r="D68" s="8">
        <f t="shared" si="0"/>
        <v>7.4675400000000003E-2</v>
      </c>
      <c r="E68" s="8">
        <f t="shared" si="1"/>
        <v>0.100065036</v>
      </c>
    </row>
    <row r="69" spans="1:5">
      <c r="A69" t="s">
        <v>422</v>
      </c>
      <c r="B69" t="s">
        <v>294</v>
      </c>
      <c r="C69" s="53">
        <v>3637170</v>
      </c>
      <c r="D69" s="8">
        <f t="shared" ref="D69:D132" si="9">C69*$H$3/10^9</f>
        <v>7.27434E-2</v>
      </c>
      <c r="E69" s="8">
        <f t="shared" ref="E69:E132" si="10">C69*$H$4/10^9</f>
        <v>9.7476155999999994E-2</v>
      </c>
    </row>
    <row r="70" spans="1:5">
      <c r="A70" t="s">
        <v>423</v>
      </c>
      <c r="B70" t="s">
        <v>297</v>
      </c>
      <c r="C70" s="53">
        <v>3612000</v>
      </c>
      <c r="D70" s="8">
        <f t="shared" si="9"/>
        <v>7.2239999999999999E-2</v>
      </c>
      <c r="E70" s="8">
        <f t="shared" si="10"/>
        <v>9.6801600000000002E-2</v>
      </c>
    </row>
    <row r="71" spans="1:5">
      <c r="A71" t="s">
        <v>424</v>
      </c>
      <c r="B71" t="s">
        <v>296</v>
      </c>
      <c r="C71" s="53">
        <v>3600000</v>
      </c>
      <c r="D71" s="8">
        <f t="shared" si="9"/>
        <v>7.1999999999999995E-2</v>
      </c>
      <c r="E71" s="8">
        <f t="shared" si="10"/>
        <v>9.6479999999999996E-2</v>
      </c>
    </row>
    <row r="72" spans="1:5">
      <c r="A72" t="s">
        <v>425</v>
      </c>
      <c r="B72" t="s">
        <v>293</v>
      </c>
      <c r="C72" s="53">
        <v>3559000</v>
      </c>
      <c r="D72" s="8">
        <f t="shared" si="9"/>
        <v>7.1179999999999993E-2</v>
      </c>
      <c r="E72" s="8">
        <f t="shared" si="10"/>
        <v>9.5381199999999999E-2</v>
      </c>
    </row>
    <row r="73" spans="1:5">
      <c r="A73" t="s">
        <v>426</v>
      </c>
      <c r="B73" t="s">
        <v>296</v>
      </c>
      <c r="C73" s="53">
        <v>3400000</v>
      </c>
      <c r="D73" s="8">
        <f t="shared" si="9"/>
        <v>6.8000000000000005E-2</v>
      </c>
      <c r="E73" s="8">
        <f t="shared" si="10"/>
        <v>9.1120000000000007E-2</v>
      </c>
    </row>
    <row r="74" spans="1:5">
      <c r="A74" t="s">
        <v>427</v>
      </c>
      <c r="B74" t="s">
        <v>293</v>
      </c>
      <c r="C74" s="53">
        <v>3300000</v>
      </c>
      <c r="D74" s="8">
        <f t="shared" si="9"/>
        <v>6.6000000000000003E-2</v>
      </c>
      <c r="E74" s="8">
        <f t="shared" si="10"/>
        <v>8.8440000000000005E-2</v>
      </c>
    </row>
    <row r="75" spans="1:5">
      <c r="A75" t="s">
        <v>428</v>
      </c>
      <c r="B75" t="s">
        <v>296</v>
      </c>
      <c r="C75" s="53">
        <v>3278000</v>
      </c>
      <c r="D75" s="8">
        <f t="shared" si="9"/>
        <v>6.5559999999999993E-2</v>
      </c>
      <c r="E75" s="8">
        <f t="shared" si="10"/>
        <v>8.7850399999999995E-2</v>
      </c>
    </row>
    <row r="76" spans="1:5">
      <c r="A76" t="s">
        <v>80</v>
      </c>
      <c r="B76" t="s">
        <v>294</v>
      </c>
      <c r="C76" s="53">
        <v>3220000</v>
      </c>
      <c r="D76" s="8">
        <f t="shared" si="9"/>
        <v>6.4399999999999999E-2</v>
      </c>
      <c r="E76" s="8">
        <f t="shared" si="10"/>
        <v>8.6295999999999998E-2</v>
      </c>
    </row>
    <row r="77" spans="1:5">
      <c r="A77" t="s">
        <v>429</v>
      </c>
      <c r="B77" t="s">
        <v>296</v>
      </c>
      <c r="C77" s="53">
        <v>2820000</v>
      </c>
      <c r="D77" s="8">
        <f t="shared" si="9"/>
        <v>5.6399999999999999E-2</v>
      </c>
      <c r="E77" s="8">
        <f t="shared" si="10"/>
        <v>7.5576000000000004E-2</v>
      </c>
    </row>
    <row r="78" spans="1:5">
      <c r="A78" t="s">
        <v>430</v>
      </c>
      <c r="B78" t="s">
        <v>294</v>
      </c>
      <c r="C78" s="53">
        <v>2803000</v>
      </c>
      <c r="D78" s="8">
        <f t="shared" si="9"/>
        <v>5.6059999999999999E-2</v>
      </c>
      <c r="E78" s="8">
        <f t="shared" si="10"/>
        <v>7.5120400000000004E-2</v>
      </c>
    </row>
    <row r="79" spans="1:5">
      <c r="A79" t="s">
        <v>431</v>
      </c>
      <c r="B79" t="s">
        <v>296</v>
      </c>
      <c r="C79" s="53">
        <v>2760000</v>
      </c>
      <c r="D79" s="8">
        <f t="shared" si="9"/>
        <v>5.5199999999999999E-2</v>
      </c>
      <c r="E79" s="8">
        <f t="shared" si="10"/>
        <v>7.3968000000000006E-2</v>
      </c>
    </row>
    <row r="80" spans="1:5">
      <c r="A80" t="s">
        <v>432</v>
      </c>
      <c r="B80" t="s">
        <v>295</v>
      </c>
      <c r="C80" s="53">
        <v>2580000</v>
      </c>
      <c r="D80" s="8">
        <f t="shared" si="9"/>
        <v>5.16E-2</v>
      </c>
      <c r="E80" s="8">
        <f t="shared" si="10"/>
        <v>6.9143999999999997E-2</v>
      </c>
    </row>
    <row r="81" spans="1:5">
      <c r="A81" t="s">
        <v>433</v>
      </c>
      <c r="B81" t="s">
        <v>294</v>
      </c>
      <c r="C81" s="53">
        <v>2568000</v>
      </c>
      <c r="D81" s="8">
        <f t="shared" si="9"/>
        <v>5.1360000000000003E-2</v>
      </c>
      <c r="E81" s="8">
        <f t="shared" si="10"/>
        <v>6.8822400000000006E-2</v>
      </c>
    </row>
    <row r="82" spans="1:5">
      <c r="A82" t="s">
        <v>434</v>
      </c>
      <c r="B82" t="s">
        <v>294</v>
      </c>
      <c r="C82" s="53">
        <v>2543000</v>
      </c>
      <c r="D82" s="8">
        <f t="shared" si="9"/>
        <v>5.0860000000000002E-2</v>
      </c>
      <c r="E82" s="8">
        <f t="shared" si="10"/>
        <v>6.8152400000000002E-2</v>
      </c>
    </row>
    <row r="83" spans="1:5">
      <c r="A83" t="s">
        <v>435</v>
      </c>
      <c r="B83" t="s">
        <v>293</v>
      </c>
      <c r="C83" s="53">
        <v>2469000</v>
      </c>
      <c r="D83" s="8">
        <f t="shared" si="9"/>
        <v>4.938E-2</v>
      </c>
      <c r="E83" s="8">
        <f t="shared" si="10"/>
        <v>6.6169199999999997E-2</v>
      </c>
    </row>
    <row r="84" spans="1:5">
      <c r="A84" t="s">
        <v>436</v>
      </c>
      <c r="B84" t="s">
        <v>293</v>
      </c>
      <c r="C84" s="53">
        <v>2464000</v>
      </c>
      <c r="D84" s="8">
        <f t="shared" si="9"/>
        <v>4.9279999999999997E-2</v>
      </c>
      <c r="E84" s="8">
        <f t="shared" si="10"/>
        <v>6.6035200000000002E-2</v>
      </c>
    </row>
    <row r="85" spans="1:5">
      <c r="A85" t="s">
        <v>437</v>
      </c>
      <c r="B85" t="s">
        <v>294</v>
      </c>
      <c r="C85" s="53">
        <v>2396610</v>
      </c>
      <c r="D85" s="8">
        <f t="shared" si="9"/>
        <v>4.7932200000000001E-2</v>
      </c>
      <c r="E85" s="8">
        <f t="shared" si="10"/>
        <v>6.4229148E-2</v>
      </c>
    </row>
    <row r="86" spans="1:5">
      <c r="A86" t="s">
        <v>438</v>
      </c>
      <c r="B86" t="s">
        <v>297</v>
      </c>
      <c r="C86" s="53">
        <v>2341300</v>
      </c>
      <c r="D86" s="8">
        <f t="shared" si="9"/>
        <v>4.6826E-2</v>
      </c>
      <c r="E86" s="8">
        <f t="shared" si="10"/>
        <v>6.2746839999999998E-2</v>
      </c>
    </row>
    <row r="87" spans="1:5">
      <c r="A87" t="s">
        <v>439</v>
      </c>
      <c r="B87" t="s">
        <v>298</v>
      </c>
      <c r="C87" s="53">
        <v>2325700</v>
      </c>
      <c r="D87" s="8">
        <f t="shared" si="9"/>
        <v>4.6514E-2</v>
      </c>
      <c r="E87" s="8">
        <f t="shared" si="10"/>
        <v>6.2328759999999997E-2</v>
      </c>
    </row>
    <row r="88" spans="1:5">
      <c r="A88" t="s">
        <v>440</v>
      </c>
      <c r="B88" t="s">
        <v>298</v>
      </c>
      <c r="C88" s="53">
        <v>2300000</v>
      </c>
      <c r="D88" s="8">
        <f t="shared" si="9"/>
        <v>4.5999999999999999E-2</v>
      </c>
      <c r="E88" s="8">
        <f t="shared" si="10"/>
        <v>6.164E-2</v>
      </c>
    </row>
    <row r="89" spans="1:5">
      <c r="A89" t="s">
        <v>221</v>
      </c>
      <c r="B89" t="s">
        <v>294</v>
      </c>
      <c r="C89" s="53">
        <v>2245000</v>
      </c>
      <c r="D89" s="8">
        <f t="shared" si="9"/>
        <v>4.4900000000000002E-2</v>
      </c>
      <c r="E89" s="8">
        <f t="shared" si="10"/>
        <v>6.0165999999999997E-2</v>
      </c>
    </row>
    <row r="90" spans="1:5">
      <c r="A90" t="s">
        <v>441</v>
      </c>
      <c r="B90" t="s">
        <v>294</v>
      </c>
      <c r="C90" s="53">
        <v>2139200</v>
      </c>
      <c r="D90" s="8">
        <f t="shared" si="9"/>
        <v>4.2784000000000003E-2</v>
      </c>
      <c r="E90" s="8">
        <f t="shared" si="10"/>
        <v>5.7330560000000003E-2</v>
      </c>
    </row>
    <row r="91" spans="1:5">
      <c r="A91" t="s">
        <v>442</v>
      </c>
      <c r="B91" t="s">
        <v>297</v>
      </c>
      <c r="C91" s="53">
        <v>2050000</v>
      </c>
      <c r="D91" s="8">
        <f t="shared" si="9"/>
        <v>4.1000000000000002E-2</v>
      </c>
      <c r="E91" s="8">
        <f t="shared" si="10"/>
        <v>5.4940000000000003E-2</v>
      </c>
    </row>
    <row r="92" spans="1:5">
      <c r="A92" t="s">
        <v>443</v>
      </c>
      <c r="B92" t="s">
        <v>293</v>
      </c>
      <c r="C92" s="53">
        <v>2045000</v>
      </c>
      <c r="D92" s="8">
        <f t="shared" si="9"/>
        <v>4.0899999999999999E-2</v>
      </c>
      <c r="E92" s="8">
        <f t="shared" si="10"/>
        <v>5.4806000000000001E-2</v>
      </c>
    </row>
    <row r="93" spans="1:5">
      <c r="A93" t="s">
        <v>444</v>
      </c>
      <c r="B93" t="s">
        <v>291</v>
      </c>
      <c r="C93" s="53">
        <v>2000000</v>
      </c>
      <c r="D93" s="8">
        <f t="shared" si="9"/>
        <v>0.04</v>
      </c>
      <c r="E93" s="8">
        <f t="shared" si="10"/>
        <v>5.3600000000000002E-2</v>
      </c>
    </row>
    <row r="94" spans="1:5">
      <c r="A94" t="s">
        <v>445</v>
      </c>
      <c r="B94" t="s">
        <v>294</v>
      </c>
      <c r="C94" s="53">
        <v>1975000</v>
      </c>
      <c r="D94" s="8">
        <f t="shared" si="9"/>
        <v>3.95E-2</v>
      </c>
      <c r="E94" s="8">
        <f t="shared" si="10"/>
        <v>5.2929999999999998E-2</v>
      </c>
    </row>
    <row r="95" spans="1:5">
      <c r="A95" t="s">
        <v>446</v>
      </c>
      <c r="C95" s="53">
        <v>1880000</v>
      </c>
      <c r="D95" s="8">
        <f t="shared" si="9"/>
        <v>3.7600000000000001E-2</v>
      </c>
      <c r="E95" s="8">
        <f t="shared" si="10"/>
        <v>5.0383999999999998E-2</v>
      </c>
    </row>
    <row r="96" spans="1:5">
      <c r="A96" t="s">
        <v>447</v>
      </c>
      <c r="B96" t="s">
        <v>293</v>
      </c>
      <c r="C96" s="53">
        <v>1790000</v>
      </c>
      <c r="D96" s="8">
        <f t="shared" si="9"/>
        <v>3.5799999999999998E-2</v>
      </c>
      <c r="E96" s="8">
        <f t="shared" si="10"/>
        <v>4.7972000000000001E-2</v>
      </c>
    </row>
    <row r="97" spans="1:5">
      <c r="A97" t="s">
        <v>448</v>
      </c>
      <c r="B97" t="s">
        <v>296</v>
      </c>
      <c r="C97" s="53">
        <v>1749000</v>
      </c>
      <c r="D97" s="8">
        <f t="shared" si="9"/>
        <v>3.4979999999999997E-2</v>
      </c>
      <c r="E97" s="8">
        <f t="shared" si="10"/>
        <v>4.6873199999999997E-2</v>
      </c>
    </row>
    <row r="98" spans="1:5">
      <c r="A98" t="s">
        <v>449</v>
      </c>
      <c r="B98" t="s">
        <v>293</v>
      </c>
      <c r="C98" s="53">
        <v>1732000</v>
      </c>
      <c r="D98" s="8">
        <f t="shared" si="9"/>
        <v>3.4639999999999997E-2</v>
      </c>
      <c r="E98" s="8">
        <f t="shared" si="10"/>
        <v>4.6417600000000003E-2</v>
      </c>
    </row>
    <row r="99" spans="1:5">
      <c r="A99" t="s">
        <v>450</v>
      </c>
      <c r="B99" t="s">
        <v>292</v>
      </c>
      <c r="C99" s="53">
        <v>1724000</v>
      </c>
      <c r="D99" s="8">
        <f t="shared" si="9"/>
        <v>3.4479999999999997E-2</v>
      </c>
      <c r="E99" s="8">
        <f t="shared" si="10"/>
        <v>4.62032E-2</v>
      </c>
    </row>
    <row r="100" spans="1:5">
      <c r="A100" t="s">
        <v>451</v>
      </c>
      <c r="B100" t="s">
        <v>293</v>
      </c>
      <c r="C100" s="53">
        <v>1720000</v>
      </c>
      <c r="D100" s="8">
        <f t="shared" si="9"/>
        <v>3.44E-2</v>
      </c>
      <c r="E100" s="8">
        <f t="shared" si="10"/>
        <v>4.6095999999999998E-2</v>
      </c>
    </row>
    <row r="101" spans="1:5">
      <c r="A101" t="s">
        <v>452</v>
      </c>
      <c r="B101" t="s">
        <v>294</v>
      </c>
      <c r="C101" s="53">
        <v>1709410</v>
      </c>
      <c r="D101" s="8">
        <f t="shared" si="9"/>
        <v>3.4188200000000002E-2</v>
      </c>
      <c r="E101" s="8">
        <f t="shared" si="10"/>
        <v>4.5812187999999997E-2</v>
      </c>
    </row>
    <row r="102" spans="1:5">
      <c r="A102" t="s">
        <v>453</v>
      </c>
      <c r="B102" t="s">
        <v>295</v>
      </c>
      <c r="C102" s="53">
        <v>1620700</v>
      </c>
      <c r="D102" s="8">
        <f t="shared" si="9"/>
        <v>3.2413999999999998E-2</v>
      </c>
      <c r="E102" s="8">
        <f t="shared" si="10"/>
        <v>4.3434760000000003E-2</v>
      </c>
    </row>
    <row r="103" spans="1:5">
      <c r="A103" t="s">
        <v>454</v>
      </c>
      <c r="B103" t="s">
        <v>292</v>
      </c>
      <c r="C103" s="53">
        <v>1550000</v>
      </c>
      <c r="D103" s="8">
        <f t="shared" si="9"/>
        <v>3.1E-2</v>
      </c>
      <c r="E103" s="8">
        <f t="shared" si="10"/>
        <v>4.1540000000000001E-2</v>
      </c>
    </row>
    <row r="104" spans="1:5">
      <c r="A104" t="s">
        <v>455</v>
      </c>
      <c r="B104" t="s">
        <v>296</v>
      </c>
      <c r="C104" s="53">
        <v>1401700</v>
      </c>
      <c r="D104" s="8">
        <f t="shared" si="9"/>
        <v>2.8034E-2</v>
      </c>
      <c r="E104" s="8">
        <f t="shared" si="10"/>
        <v>3.7565559999999998E-2</v>
      </c>
    </row>
    <row r="105" spans="1:5">
      <c r="A105" t="s">
        <v>456</v>
      </c>
      <c r="B105" t="s">
        <v>294</v>
      </c>
      <c r="C105" s="53">
        <v>1395810</v>
      </c>
      <c r="D105" s="8">
        <f t="shared" si="9"/>
        <v>2.7916199999999999E-2</v>
      </c>
      <c r="E105" s="8">
        <f t="shared" si="10"/>
        <v>3.7407707999999998E-2</v>
      </c>
    </row>
    <row r="106" spans="1:5">
      <c r="A106" t="s">
        <v>457</v>
      </c>
      <c r="B106" t="s">
        <v>297</v>
      </c>
      <c r="C106" s="53">
        <v>1387700</v>
      </c>
      <c r="D106" s="8">
        <f t="shared" si="9"/>
        <v>2.7754000000000001E-2</v>
      </c>
      <c r="E106" s="8">
        <f t="shared" si="10"/>
        <v>3.7190359999999999E-2</v>
      </c>
    </row>
    <row r="107" spans="1:5">
      <c r="A107" t="s">
        <v>458</v>
      </c>
      <c r="B107" t="s">
        <v>291</v>
      </c>
      <c r="C107" s="53">
        <v>1363800</v>
      </c>
      <c r="D107" s="8">
        <f t="shared" si="9"/>
        <v>2.7276000000000002E-2</v>
      </c>
      <c r="E107" s="8">
        <f t="shared" si="10"/>
        <v>3.654984E-2</v>
      </c>
    </row>
    <row r="108" spans="1:5">
      <c r="A108" t="s">
        <v>459</v>
      </c>
      <c r="B108" t="s">
        <v>294</v>
      </c>
      <c r="C108" s="53">
        <v>1361000</v>
      </c>
      <c r="D108" s="8">
        <f t="shared" si="9"/>
        <v>2.7220000000000001E-2</v>
      </c>
      <c r="E108" s="8">
        <f t="shared" si="10"/>
        <v>3.6474800000000002E-2</v>
      </c>
    </row>
    <row r="109" spans="1:5">
      <c r="A109" t="s">
        <v>460</v>
      </c>
      <c r="B109" t="s">
        <v>293</v>
      </c>
      <c r="C109" s="53">
        <v>1350000</v>
      </c>
      <c r="D109" s="8">
        <f t="shared" si="9"/>
        <v>2.7E-2</v>
      </c>
      <c r="E109" s="8">
        <f t="shared" si="10"/>
        <v>3.6179999999999997E-2</v>
      </c>
    </row>
    <row r="110" spans="1:5">
      <c r="A110" t="s">
        <v>461</v>
      </c>
      <c r="B110" t="s">
        <v>294</v>
      </c>
      <c r="C110" s="53">
        <v>1298000</v>
      </c>
      <c r="D110" s="8">
        <f t="shared" si="9"/>
        <v>2.596E-2</v>
      </c>
      <c r="E110" s="8">
        <f t="shared" si="10"/>
        <v>3.4786400000000002E-2</v>
      </c>
    </row>
    <row r="111" spans="1:5">
      <c r="A111" t="s">
        <v>462</v>
      </c>
      <c r="B111" t="s">
        <v>294</v>
      </c>
      <c r="C111" s="53">
        <v>1167000</v>
      </c>
      <c r="D111" s="8">
        <f t="shared" si="9"/>
        <v>2.334E-2</v>
      </c>
      <c r="E111" s="8">
        <f t="shared" si="10"/>
        <v>3.1275600000000001E-2</v>
      </c>
    </row>
    <row r="112" spans="1:5">
      <c r="A112" t="s">
        <v>463</v>
      </c>
      <c r="C112" s="53">
        <v>1155000</v>
      </c>
      <c r="D112" s="8">
        <f t="shared" si="9"/>
        <v>2.3099999999999999E-2</v>
      </c>
      <c r="E112" s="8">
        <f t="shared" si="10"/>
        <v>3.0953999999999999E-2</v>
      </c>
    </row>
    <row r="113" spans="1:5">
      <c r="A113" t="s">
        <v>464</v>
      </c>
      <c r="B113" t="s">
        <v>296</v>
      </c>
      <c r="C113" s="53">
        <v>1125000</v>
      </c>
      <c r="D113" s="8">
        <f t="shared" si="9"/>
        <v>2.2499999999999999E-2</v>
      </c>
      <c r="E113" s="8">
        <f t="shared" si="10"/>
        <v>3.015E-2</v>
      </c>
    </row>
    <row r="114" spans="1:5">
      <c r="A114" t="s">
        <v>465</v>
      </c>
      <c r="B114" t="s">
        <v>294</v>
      </c>
      <c r="C114" s="53">
        <v>1075000</v>
      </c>
      <c r="D114" s="8">
        <f t="shared" si="9"/>
        <v>2.1499999999999998E-2</v>
      </c>
      <c r="E114" s="8">
        <f t="shared" si="10"/>
        <v>2.8809999999999999E-2</v>
      </c>
    </row>
    <row r="115" spans="1:5">
      <c r="A115" t="s">
        <v>466</v>
      </c>
      <c r="B115" t="s">
        <v>292</v>
      </c>
      <c r="C115" s="53">
        <v>1000000</v>
      </c>
      <c r="D115" s="8">
        <f t="shared" si="9"/>
        <v>0.02</v>
      </c>
      <c r="E115" s="8">
        <f t="shared" si="10"/>
        <v>2.6800000000000001E-2</v>
      </c>
    </row>
    <row r="116" spans="1:5">
      <c r="A116" t="s">
        <v>467</v>
      </c>
      <c r="B116" t="s">
        <v>293</v>
      </c>
      <c r="C116" s="53">
        <v>932000</v>
      </c>
      <c r="D116" s="8">
        <f t="shared" si="9"/>
        <v>1.864E-2</v>
      </c>
      <c r="E116" s="8">
        <f t="shared" si="10"/>
        <v>2.4977599999999999E-2</v>
      </c>
    </row>
    <row r="117" spans="1:5">
      <c r="A117" t="s">
        <v>468</v>
      </c>
      <c r="B117" t="s">
        <v>294</v>
      </c>
      <c r="C117" s="53">
        <v>889000</v>
      </c>
      <c r="D117" s="8">
        <f t="shared" si="9"/>
        <v>1.7780000000000001E-2</v>
      </c>
      <c r="E117" s="8">
        <f t="shared" si="10"/>
        <v>2.3825200000000001E-2</v>
      </c>
    </row>
    <row r="118" spans="1:5">
      <c r="A118" t="s">
        <v>469</v>
      </c>
      <c r="B118" t="s">
        <v>291</v>
      </c>
      <c r="C118" s="53">
        <v>867700</v>
      </c>
      <c r="D118" s="8">
        <f t="shared" si="9"/>
        <v>1.7354000000000001E-2</v>
      </c>
      <c r="E118" s="8">
        <f t="shared" si="10"/>
        <v>2.3254360000000002E-2</v>
      </c>
    </row>
    <row r="119" spans="1:5">
      <c r="A119" t="s">
        <v>470</v>
      </c>
      <c r="B119" t="s">
        <v>294</v>
      </c>
      <c r="C119" s="53">
        <v>859000</v>
      </c>
      <c r="D119" s="8">
        <f t="shared" si="9"/>
        <v>1.7180000000000001E-2</v>
      </c>
      <c r="E119" s="8">
        <f t="shared" si="10"/>
        <v>2.3021199999999999E-2</v>
      </c>
    </row>
    <row r="120" spans="1:5">
      <c r="A120" t="s">
        <v>471</v>
      </c>
      <c r="B120" t="s">
        <v>296</v>
      </c>
      <c r="C120" s="53">
        <v>810000</v>
      </c>
      <c r="D120" s="8">
        <f t="shared" si="9"/>
        <v>1.6199999999999999E-2</v>
      </c>
      <c r="E120" s="8">
        <f t="shared" si="10"/>
        <v>2.1708000000000002E-2</v>
      </c>
    </row>
    <row r="121" spans="1:5">
      <c r="A121" t="s">
        <v>81</v>
      </c>
      <c r="B121" t="s">
        <v>294</v>
      </c>
      <c r="C121" s="53">
        <v>804500</v>
      </c>
      <c r="D121" s="8">
        <f t="shared" si="9"/>
        <v>1.609E-2</v>
      </c>
      <c r="E121" s="8">
        <f t="shared" si="10"/>
        <v>2.1560599999999999E-2</v>
      </c>
    </row>
    <row r="122" spans="1:5">
      <c r="A122" t="s">
        <v>472</v>
      </c>
      <c r="B122" t="s">
        <v>292</v>
      </c>
      <c r="C122" s="53">
        <v>793000</v>
      </c>
      <c r="D122" s="8">
        <f t="shared" si="9"/>
        <v>1.5859999999999999E-2</v>
      </c>
      <c r="E122" s="8">
        <f t="shared" si="10"/>
        <v>2.1252400000000001E-2</v>
      </c>
    </row>
    <row r="123" spans="1:5">
      <c r="A123" t="s">
        <v>473</v>
      </c>
      <c r="B123" t="s">
        <v>293</v>
      </c>
      <c r="C123" s="53">
        <v>750000</v>
      </c>
      <c r="D123" s="8">
        <f t="shared" si="9"/>
        <v>1.4999999999999999E-2</v>
      </c>
      <c r="E123" s="8">
        <f t="shared" si="10"/>
        <v>2.01E-2</v>
      </c>
    </row>
    <row r="124" spans="1:5">
      <c r="A124" t="s">
        <v>474</v>
      </c>
      <c r="C124" s="53">
        <v>710000</v>
      </c>
      <c r="D124" s="8">
        <f t="shared" si="9"/>
        <v>1.4200000000000001E-2</v>
      </c>
      <c r="E124" s="8">
        <f t="shared" si="10"/>
        <v>1.9028E-2</v>
      </c>
    </row>
    <row r="125" spans="1:5">
      <c r="A125" t="s">
        <v>475</v>
      </c>
      <c r="B125" t="s">
        <v>296</v>
      </c>
      <c r="C125" s="53">
        <v>692000</v>
      </c>
      <c r="D125" s="8">
        <f t="shared" si="9"/>
        <v>1.384E-2</v>
      </c>
      <c r="E125" s="8">
        <f t="shared" si="10"/>
        <v>1.8545599999999999E-2</v>
      </c>
    </row>
    <row r="126" spans="1:5">
      <c r="A126" t="s">
        <v>476</v>
      </c>
      <c r="B126" t="s">
        <v>294</v>
      </c>
      <c r="C126" s="53">
        <v>691100</v>
      </c>
      <c r="D126" s="8">
        <f t="shared" si="9"/>
        <v>1.3821999999999999E-2</v>
      </c>
      <c r="E126" s="8">
        <f t="shared" si="10"/>
        <v>1.852148E-2</v>
      </c>
    </row>
    <row r="127" spans="1:5">
      <c r="A127" t="s">
        <v>477</v>
      </c>
      <c r="B127" t="s">
        <v>294</v>
      </c>
      <c r="C127" s="53">
        <v>688000</v>
      </c>
      <c r="D127" s="8">
        <f t="shared" si="9"/>
        <v>1.376E-2</v>
      </c>
      <c r="E127" s="8">
        <f t="shared" si="10"/>
        <v>1.8438400000000001E-2</v>
      </c>
    </row>
    <row r="128" spans="1:5">
      <c r="A128" t="s">
        <v>478</v>
      </c>
      <c r="B128" t="s">
        <v>292</v>
      </c>
      <c r="C128" s="53">
        <v>645000</v>
      </c>
      <c r="D128" s="8">
        <f t="shared" si="9"/>
        <v>1.29E-2</v>
      </c>
      <c r="E128" s="8">
        <f t="shared" si="10"/>
        <v>1.7285999999999999E-2</v>
      </c>
    </row>
    <row r="129" spans="1:5">
      <c r="A129" t="s">
        <v>479</v>
      </c>
      <c r="B129" t="s">
        <v>296</v>
      </c>
      <c r="C129" s="53">
        <v>628000</v>
      </c>
      <c r="D129" s="8">
        <f t="shared" si="9"/>
        <v>1.256E-2</v>
      </c>
      <c r="E129" s="8">
        <f t="shared" si="10"/>
        <v>1.6830399999999999E-2</v>
      </c>
    </row>
    <row r="130" spans="1:5">
      <c r="A130" t="s">
        <v>480</v>
      </c>
      <c r="B130" t="s">
        <v>295</v>
      </c>
      <c r="C130" s="53">
        <v>572200</v>
      </c>
      <c r="D130" s="8">
        <f t="shared" si="9"/>
        <v>1.1443999999999999E-2</v>
      </c>
      <c r="E130" s="8">
        <f t="shared" si="10"/>
        <v>1.533496E-2</v>
      </c>
    </row>
    <row r="131" spans="1:5">
      <c r="A131" t="s">
        <v>481</v>
      </c>
      <c r="B131" t="s">
        <v>293</v>
      </c>
      <c r="C131" s="53">
        <v>569500</v>
      </c>
      <c r="D131" s="8">
        <f t="shared" si="9"/>
        <v>1.1390000000000001E-2</v>
      </c>
      <c r="E131" s="8">
        <f t="shared" si="10"/>
        <v>1.5262599999999999E-2</v>
      </c>
    </row>
    <row r="132" spans="1:5">
      <c r="A132" t="s">
        <v>482</v>
      </c>
      <c r="B132" t="s">
        <v>296</v>
      </c>
      <c r="C132" s="53">
        <v>550000</v>
      </c>
      <c r="D132" s="8">
        <f t="shared" si="9"/>
        <v>1.0999999999999999E-2</v>
      </c>
      <c r="E132" s="8">
        <f t="shared" si="10"/>
        <v>1.474E-2</v>
      </c>
    </row>
    <row r="133" spans="1:5">
      <c r="A133" t="s">
        <v>483</v>
      </c>
      <c r="B133" t="s">
        <v>297</v>
      </c>
      <c r="C133" s="53">
        <v>505100</v>
      </c>
      <c r="D133" s="8">
        <f t="shared" ref="D133:D196" si="11">C133*$H$3/10^9</f>
        <v>1.0102E-2</v>
      </c>
      <c r="E133" s="8">
        <f t="shared" ref="E133:E196" si="12">C133*$H$4/10^9</f>
        <v>1.3536680000000001E-2</v>
      </c>
    </row>
    <row r="134" spans="1:5">
      <c r="A134" t="s">
        <v>484</v>
      </c>
      <c r="B134" t="s">
        <v>296</v>
      </c>
      <c r="C134" s="53">
        <v>495000</v>
      </c>
      <c r="D134" s="8">
        <f t="shared" si="11"/>
        <v>9.9000000000000008E-3</v>
      </c>
      <c r="E134" s="8">
        <f t="shared" si="12"/>
        <v>1.3266E-2</v>
      </c>
    </row>
    <row r="135" spans="1:5">
      <c r="A135" t="s">
        <v>485</v>
      </c>
      <c r="B135" t="s">
        <v>297</v>
      </c>
      <c r="C135" s="53">
        <v>483000</v>
      </c>
      <c r="D135" s="8">
        <f t="shared" si="11"/>
        <v>9.6600000000000002E-3</v>
      </c>
      <c r="E135" s="8">
        <f t="shared" si="12"/>
        <v>1.29444E-2</v>
      </c>
    </row>
    <row r="136" spans="1:5">
      <c r="A136" t="s">
        <v>486</v>
      </c>
      <c r="B136" t="s">
        <v>293</v>
      </c>
      <c r="C136" s="53">
        <v>470000</v>
      </c>
      <c r="D136" s="8">
        <f t="shared" si="11"/>
        <v>9.4000000000000004E-3</v>
      </c>
      <c r="E136" s="8">
        <f t="shared" si="12"/>
        <v>1.2596E-2</v>
      </c>
    </row>
    <row r="137" spans="1:5">
      <c r="A137" t="s">
        <v>487</v>
      </c>
      <c r="B137" t="s">
        <v>294</v>
      </c>
      <c r="C137" s="53">
        <v>457000</v>
      </c>
      <c r="D137" s="8">
        <f t="shared" si="11"/>
        <v>9.1400000000000006E-3</v>
      </c>
      <c r="E137" s="8">
        <f t="shared" si="12"/>
        <v>1.2247600000000001E-2</v>
      </c>
    </row>
    <row r="138" spans="1:5">
      <c r="A138" t="s">
        <v>488</v>
      </c>
      <c r="B138" t="s">
        <v>296</v>
      </c>
      <c r="C138" s="53">
        <v>445000</v>
      </c>
      <c r="D138" s="8">
        <f t="shared" si="11"/>
        <v>8.8999999999999999E-3</v>
      </c>
      <c r="E138" s="8">
        <f t="shared" si="12"/>
        <v>1.1926000000000001E-2</v>
      </c>
    </row>
    <row r="139" spans="1:5">
      <c r="A139" t="s">
        <v>489</v>
      </c>
      <c r="B139" t="s">
        <v>294</v>
      </c>
      <c r="C139" s="53">
        <v>444800</v>
      </c>
      <c r="D139" s="8">
        <f t="shared" si="11"/>
        <v>8.8959999999999994E-3</v>
      </c>
      <c r="E139" s="8">
        <f t="shared" si="12"/>
        <v>1.192064E-2</v>
      </c>
    </row>
    <row r="140" spans="1:5">
      <c r="A140" t="s">
        <v>490</v>
      </c>
      <c r="B140" t="s">
        <v>294</v>
      </c>
      <c r="C140" s="53">
        <v>442000</v>
      </c>
      <c r="D140" s="8">
        <f t="shared" si="11"/>
        <v>8.8400000000000006E-3</v>
      </c>
      <c r="E140" s="8">
        <f t="shared" si="12"/>
        <v>1.18456E-2</v>
      </c>
    </row>
    <row r="141" spans="1:5">
      <c r="A141" t="s">
        <v>491</v>
      </c>
      <c r="B141" t="s">
        <v>294</v>
      </c>
      <c r="C141" s="53">
        <v>423090</v>
      </c>
      <c r="D141" s="8">
        <f t="shared" si="11"/>
        <v>8.4618000000000002E-3</v>
      </c>
      <c r="E141" s="8">
        <f t="shared" si="12"/>
        <v>1.1338812E-2</v>
      </c>
    </row>
    <row r="142" spans="1:5">
      <c r="A142" t="s">
        <v>492</v>
      </c>
      <c r="B142" t="s">
        <v>296</v>
      </c>
      <c r="C142" s="53">
        <v>418000</v>
      </c>
      <c r="D142" s="8">
        <f t="shared" si="11"/>
        <v>8.3599999999999994E-3</v>
      </c>
      <c r="E142" s="8">
        <f t="shared" si="12"/>
        <v>1.12024E-2</v>
      </c>
    </row>
    <row r="143" spans="1:5">
      <c r="A143" t="s">
        <v>493</v>
      </c>
      <c r="B143" t="s">
        <v>296</v>
      </c>
      <c r="C143" s="53">
        <v>411000</v>
      </c>
      <c r="D143" s="8">
        <f t="shared" si="11"/>
        <v>8.2199999999999999E-3</v>
      </c>
      <c r="E143" s="8">
        <f t="shared" si="12"/>
        <v>1.10148E-2</v>
      </c>
    </row>
    <row r="144" spans="1:5">
      <c r="A144" t="s">
        <v>494</v>
      </c>
      <c r="B144" t="s">
        <v>297</v>
      </c>
      <c r="C144" s="53">
        <v>265000</v>
      </c>
      <c r="D144" s="8">
        <f t="shared" si="11"/>
        <v>5.3E-3</v>
      </c>
      <c r="E144" s="8">
        <f t="shared" si="12"/>
        <v>7.1019999999999998E-3</v>
      </c>
    </row>
    <row r="145" spans="1:5">
      <c r="A145" t="s">
        <v>495</v>
      </c>
      <c r="B145" t="s">
        <v>296</v>
      </c>
      <c r="C145" s="53">
        <v>259800</v>
      </c>
      <c r="D145" s="8">
        <f t="shared" si="11"/>
        <v>5.1960000000000001E-3</v>
      </c>
      <c r="E145" s="8">
        <f t="shared" si="12"/>
        <v>6.96264E-3</v>
      </c>
    </row>
    <row r="146" spans="1:5">
      <c r="A146" t="s">
        <v>496</v>
      </c>
      <c r="B146" t="s">
        <v>297</v>
      </c>
      <c r="C146" s="53">
        <v>258000</v>
      </c>
      <c r="D146" s="8">
        <f t="shared" si="11"/>
        <v>5.1599999999999997E-3</v>
      </c>
      <c r="E146" s="8">
        <f t="shared" si="12"/>
        <v>6.9144000000000002E-3</v>
      </c>
    </row>
    <row r="147" spans="1:5">
      <c r="A147" t="s">
        <v>497</v>
      </c>
      <c r="C147" s="53">
        <v>250000</v>
      </c>
      <c r="D147" s="8">
        <f t="shared" si="11"/>
        <v>5.0000000000000001E-3</v>
      </c>
      <c r="E147" s="8">
        <f t="shared" si="12"/>
        <v>6.7000000000000002E-3</v>
      </c>
    </row>
    <row r="148" spans="1:5">
      <c r="A148" t="s">
        <v>498</v>
      </c>
      <c r="B148" t="s">
        <v>294</v>
      </c>
      <c r="C148" s="53">
        <v>238030</v>
      </c>
      <c r="D148" s="8">
        <f t="shared" si="11"/>
        <v>4.7606000000000002E-3</v>
      </c>
      <c r="E148" s="8">
        <f t="shared" si="12"/>
        <v>6.3792040000000003E-3</v>
      </c>
    </row>
    <row r="149" spans="1:5">
      <c r="A149" t="s">
        <v>499</v>
      </c>
      <c r="C149" s="53">
        <v>230000</v>
      </c>
      <c r="D149" s="8">
        <f t="shared" si="11"/>
        <v>4.5999999999999999E-3</v>
      </c>
      <c r="E149" s="8">
        <f t="shared" si="12"/>
        <v>6.1640000000000002E-3</v>
      </c>
    </row>
    <row r="150" spans="1:5">
      <c r="A150" t="s">
        <v>500</v>
      </c>
      <c r="B150" t="s">
        <v>293</v>
      </c>
      <c r="C150" s="53">
        <v>215000</v>
      </c>
      <c r="D150" s="8">
        <f t="shared" si="11"/>
        <v>4.3E-3</v>
      </c>
      <c r="E150" s="8">
        <f t="shared" si="12"/>
        <v>5.7619999999999998E-3</v>
      </c>
    </row>
    <row r="151" spans="1:5">
      <c r="A151" t="s">
        <v>501</v>
      </c>
      <c r="C151" s="53">
        <v>190000</v>
      </c>
      <c r="D151" s="8">
        <f t="shared" si="11"/>
        <v>3.8E-3</v>
      </c>
      <c r="E151" s="8">
        <f t="shared" si="12"/>
        <v>5.0920000000000002E-3</v>
      </c>
    </row>
    <row r="152" spans="1:5">
      <c r="A152" t="s">
        <v>502</v>
      </c>
      <c r="B152" t="s">
        <v>296</v>
      </c>
      <c r="C152" s="53">
        <v>180000</v>
      </c>
      <c r="D152" s="8">
        <f t="shared" si="11"/>
        <v>3.5999999999999999E-3</v>
      </c>
      <c r="E152" s="8">
        <f t="shared" si="12"/>
        <v>4.8240000000000002E-3</v>
      </c>
    </row>
    <row r="153" spans="1:5">
      <c r="A153" t="s">
        <v>503</v>
      </c>
      <c r="B153" t="s">
        <v>297</v>
      </c>
      <c r="C153" s="53">
        <v>146920</v>
      </c>
      <c r="D153" s="8">
        <f t="shared" si="11"/>
        <v>2.9383999999999999E-3</v>
      </c>
      <c r="E153" s="8">
        <f t="shared" si="12"/>
        <v>3.9374559999999998E-3</v>
      </c>
    </row>
    <row r="154" spans="1:5">
      <c r="A154" t="s">
        <v>504</v>
      </c>
      <c r="C154" s="53">
        <v>145000</v>
      </c>
      <c r="D154" s="8">
        <f t="shared" si="11"/>
        <v>2.8999999999999998E-3</v>
      </c>
      <c r="E154" s="8">
        <f t="shared" si="12"/>
        <v>3.8860000000000001E-3</v>
      </c>
    </row>
    <row r="155" spans="1:5">
      <c r="A155" t="s">
        <v>505</v>
      </c>
      <c r="B155" t="s">
        <v>294</v>
      </c>
      <c r="C155" s="53">
        <v>122560</v>
      </c>
      <c r="D155" s="8">
        <f t="shared" si="11"/>
        <v>2.4512000000000002E-3</v>
      </c>
      <c r="E155" s="8">
        <f t="shared" si="12"/>
        <v>3.2846080000000001E-3</v>
      </c>
    </row>
    <row r="156" spans="1:5">
      <c r="A156" t="s">
        <v>506</v>
      </c>
      <c r="B156" t="s">
        <v>293</v>
      </c>
      <c r="C156" s="53">
        <v>122000</v>
      </c>
      <c r="D156" s="8">
        <f t="shared" si="11"/>
        <v>2.4399999999999999E-3</v>
      </c>
      <c r="E156" s="8">
        <f t="shared" si="12"/>
        <v>3.2696000000000001E-3</v>
      </c>
    </row>
    <row r="157" spans="1:5">
      <c r="A157" t="s">
        <v>137</v>
      </c>
      <c r="B157" t="s">
        <v>294</v>
      </c>
      <c r="C157" s="53">
        <v>121000</v>
      </c>
      <c r="D157" s="8">
        <f t="shared" si="11"/>
        <v>2.4199999999999998E-3</v>
      </c>
      <c r="E157" s="8">
        <f t="shared" si="12"/>
        <v>3.2428000000000001E-3</v>
      </c>
    </row>
    <row r="158" spans="1:5">
      <c r="A158" t="s">
        <v>507</v>
      </c>
      <c r="C158" s="53">
        <v>116000</v>
      </c>
      <c r="D158" s="8">
        <f t="shared" si="11"/>
        <v>2.32E-3</v>
      </c>
      <c r="E158" s="8">
        <f t="shared" si="12"/>
        <v>3.1088000000000001E-3</v>
      </c>
    </row>
    <row r="159" spans="1:5">
      <c r="A159" t="s">
        <v>508</v>
      </c>
      <c r="B159" t="s">
        <v>293</v>
      </c>
      <c r="C159" s="53">
        <v>107000</v>
      </c>
      <c r="D159" s="8">
        <f t="shared" si="11"/>
        <v>2.14E-3</v>
      </c>
      <c r="E159" s="8">
        <f t="shared" si="12"/>
        <v>2.8676000000000001E-3</v>
      </c>
    </row>
    <row r="160" spans="1:5">
      <c r="A160" t="s">
        <v>509</v>
      </c>
      <c r="C160" s="53">
        <v>105500</v>
      </c>
      <c r="D160" s="8">
        <f t="shared" si="11"/>
        <v>2.1099999999999999E-3</v>
      </c>
      <c r="E160" s="8">
        <f t="shared" si="12"/>
        <v>2.8273999999999999E-3</v>
      </c>
    </row>
    <row r="161" spans="1:5">
      <c r="A161" t="s">
        <v>510</v>
      </c>
      <c r="B161" t="s">
        <v>297</v>
      </c>
      <c r="C161" s="53">
        <v>100920</v>
      </c>
      <c r="D161" s="8">
        <f t="shared" si="11"/>
        <v>2.0184000000000001E-3</v>
      </c>
      <c r="E161" s="8">
        <f t="shared" si="12"/>
        <v>2.7046560000000002E-3</v>
      </c>
    </row>
    <row r="162" spans="1:5">
      <c r="A162" t="s">
        <v>511</v>
      </c>
      <c r="C162" s="53">
        <v>100000</v>
      </c>
      <c r="D162" s="8">
        <f t="shared" si="11"/>
        <v>2E-3</v>
      </c>
      <c r="E162" s="8">
        <f t="shared" si="12"/>
        <v>2.6800000000000001E-3</v>
      </c>
    </row>
    <row r="163" spans="1:5">
      <c r="A163" t="s">
        <v>512</v>
      </c>
      <c r="B163" t="s">
        <v>297</v>
      </c>
      <c r="C163" s="53">
        <v>83800</v>
      </c>
      <c r="D163" s="8">
        <f t="shared" si="11"/>
        <v>1.676E-3</v>
      </c>
      <c r="E163" s="8">
        <f t="shared" si="12"/>
        <v>2.2458399999999998E-3</v>
      </c>
    </row>
    <row r="164" spans="1:5">
      <c r="A164" t="s">
        <v>513</v>
      </c>
      <c r="B164" t="s">
        <v>296</v>
      </c>
      <c r="C164" s="53">
        <v>79000</v>
      </c>
      <c r="D164" s="8">
        <f t="shared" si="11"/>
        <v>1.58E-3</v>
      </c>
      <c r="E164" s="8">
        <f t="shared" si="12"/>
        <v>2.1172000000000001E-3</v>
      </c>
    </row>
    <row r="165" spans="1:5">
      <c r="A165" t="s">
        <v>514</v>
      </c>
      <c r="C165" s="53">
        <v>71000</v>
      </c>
      <c r="D165" s="8">
        <f t="shared" si="11"/>
        <v>1.42E-3</v>
      </c>
      <c r="E165" s="8">
        <f t="shared" si="12"/>
        <v>1.9028000000000001E-3</v>
      </c>
    </row>
    <row r="166" spans="1:5">
      <c r="A166" t="s">
        <v>515</v>
      </c>
      <c r="B166" t="s">
        <v>294</v>
      </c>
      <c r="C166" s="53">
        <v>63590</v>
      </c>
      <c r="D166" s="8">
        <f t="shared" si="11"/>
        <v>1.2718E-3</v>
      </c>
      <c r="E166" s="8">
        <f t="shared" si="12"/>
        <v>1.7042120000000001E-3</v>
      </c>
    </row>
    <row r="167" spans="1:5">
      <c r="A167" t="s">
        <v>516</v>
      </c>
      <c r="C167" s="53">
        <v>54000</v>
      </c>
      <c r="D167" s="8">
        <f t="shared" si="11"/>
        <v>1.08E-3</v>
      </c>
      <c r="E167" s="8">
        <f t="shared" si="12"/>
        <v>1.4472E-3</v>
      </c>
    </row>
    <row r="168" spans="1:5">
      <c r="A168" t="s">
        <v>517</v>
      </c>
      <c r="C168" s="53">
        <v>47000</v>
      </c>
      <c r="D168" s="8">
        <f t="shared" si="11"/>
        <v>9.3999999999999997E-4</v>
      </c>
      <c r="E168" s="8">
        <f t="shared" si="12"/>
        <v>1.2596E-3</v>
      </c>
    </row>
    <row r="169" spans="1:5">
      <c r="A169" t="s">
        <v>518</v>
      </c>
      <c r="C169" s="53">
        <v>43000</v>
      </c>
      <c r="D169" s="8">
        <f t="shared" si="11"/>
        <v>8.5999999999999998E-4</v>
      </c>
      <c r="E169" s="8">
        <f t="shared" si="12"/>
        <v>1.1524E-3</v>
      </c>
    </row>
    <row r="170" spans="1:5">
      <c r="A170" t="s">
        <v>519</v>
      </c>
      <c r="C170" s="53">
        <v>37120</v>
      </c>
      <c r="D170" s="8">
        <f t="shared" si="11"/>
        <v>7.4240000000000005E-4</v>
      </c>
      <c r="E170" s="8">
        <f t="shared" si="12"/>
        <v>9.9481599999999993E-4</v>
      </c>
    </row>
    <row r="171" spans="1:5">
      <c r="A171" t="s">
        <v>520</v>
      </c>
      <c r="C171" s="53">
        <v>34000</v>
      </c>
      <c r="D171" s="8">
        <f t="shared" si="11"/>
        <v>6.8000000000000005E-4</v>
      </c>
      <c r="E171" s="8">
        <f t="shared" si="12"/>
        <v>9.1120000000000003E-4</v>
      </c>
    </row>
    <row r="172" spans="1:5">
      <c r="A172" t="s">
        <v>521</v>
      </c>
      <c r="C172" s="53">
        <v>30000</v>
      </c>
      <c r="D172" s="8">
        <f t="shared" si="11"/>
        <v>5.9999999999999995E-4</v>
      </c>
      <c r="E172" s="8">
        <f t="shared" si="12"/>
        <v>8.0400000000000003E-4</v>
      </c>
    </row>
    <row r="173" spans="1:5">
      <c r="A173" t="s">
        <v>522</v>
      </c>
      <c r="C173" s="53">
        <v>29000</v>
      </c>
      <c r="D173" s="8">
        <f t="shared" si="11"/>
        <v>5.8E-4</v>
      </c>
      <c r="E173" s="8">
        <f t="shared" si="12"/>
        <v>7.7720000000000003E-4</v>
      </c>
    </row>
    <row r="174" spans="1:5">
      <c r="A174" t="s">
        <v>523</v>
      </c>
      <c r="C174" s="53">
        <v>25910</v>
      </c>
      <c r="D174" s="8">
        <f t="shared" si="11"/>
        <v>5.1820000000000002E-4</v>
      </c>
      <c r="E174" s="8">
        <f t="shared" si="12"/>
        <v>6.9438799999999999E-4</v>
      </c>
    </row>
    <row r="175" spans="1:5">
      <c r="A175" t="s">
        <v>524</v>
      </c>
      <c r="C175" s="53">
        <v>25500</v>
      </c>
      <c r="D175" s="8">
        <f t="shared" si="11"/>
        <v>5.1000000000000004E-4</v>
      </c>
      <c r="E175" s="8">
        <f t="shared" si="12"/>
        <v>6.8340000000000002E-4</v>
      </c>
    </row>
    <row r="176" spans="1:5">
      <c r="A176" t="s">
        <v>525</v>
      </c>
      <c r="C176" s="53">
        <v>23000</v>
      </c>
      <c r="D176" s="8">
        <f t="shared" si="11"/>
        <v>4.6000000000000001E-4</v>
      </c>
      <c r="E176" s="8">
        <f t="shared" si="12"/>
        <v>6.1640000000000002E-4</v>
      </c>
    </row>
    <row r="177" spans="1:5">
      <c r="A177" t="s">
        <v>526</v>
      </c>
      <c r="C177" s="53">
        <v>23000</v>
      </c>
      <c r="D177" s="8">
        <f t="shared" si="11"/>
        <v>4.6000000000000001E-4</v>
      </c>
      <c r="E177" s="8">
        <f t="shared" si="12"/>
        <v>6.1640000000000002E-4</v>
      </c>
    </row>
    <row r="178" spans="1:5">
      <c r="A178" t="s">
        <v>527</v>
      </c>
      <c r="C178" s="53">
        <v>19980</v>
      </c>
      <c r="D178" s="8">
        <f t="shared" si="11"/>
        <v>3.9960000000000001E-4</v>
      </c>
      <c r="E178" s="8">
        <f t="shared" si="12"/>
        <v>5.3546400000000004E-4</v>
      </c>
    </row>
    <row r="179" spans="1:5">
      <c r="A179" t="s">
        <v>528</v>
      </c>
      <c r="C179" s="53">
        <v>19000</v>
      </c>
      <c r="D179" s="8">
        <f t="shared" si="11"/>
        <v>3.8000000000000002E-4</v>
      </c>
      <c r="E179" s="8">
        <f t="shared" si="12"/>
        <v>5.0920000000000002E-4</v>
      </c>
    </row>
    <row r="180" spans="1:5">
      <c r="A180" t="s">
        <v>529</v>
      </c>
      <c r="B180" t="s">
        <v>293</v>
      </c>
      <c r="C180" s="53">
        <v>18820</v>
      </c>
      <c r="D180" s="8">
        <f t="shared" si="11"/>
        <v>3.7639999999999999E-4</v>
      </c>
      <c r="E180" s="8">
        <f t="shared" si="12"/>
        <v>5.0437599999999996E-4</v>
      </c>
    </row>
    <row r="181" spans="1:5">
      <c r="A181" t="s">
        <v>530</v>
      </c>
      <c r="B181" t="s">
        <v>297</v>
      </c>
      <c r="C181" s="53">
        <v>17000</v>
      </c>
      <c r="D181" s="8">
        <f t="shared" si="11"/>
        <v>3.4000000000000002E-4</v>
      </c>
      <c r="E181" s="8">
        <f t="shared" si="12"/>
        <v>4.5560000000000002E-4</v>
      </c>
    </row>
    <row r="182" spans="1:5">
      <c r="A182" t="s">
        <v>531</v>
      </c>
      <c r="B182" t="s">
        <v>297</v>
      </c>
      <c r="C182" s="53">
        <v>15400</v>
      </c>
      <c r="D182" s="8">
        <f t="shared" si="11"/>
        <v>3.0800000000000001E-4</v>
      </c>
      <c r="E182" s="8">
        <f t="shared" si="12"/>
        <v>4.1271999999999999E-4</v>
      </c>
    </row>
    <row r="183" spans="1:5">
      <c r="A183" t="s">
        <v>532</v>
      </c>
      <c r="C183" s="53">
        <v>14940</v>
      </c>
      <c r="D183" s="8">
        <f t="shared" si="11"/>
        <v>2.988E-4</v>
      </c>
      <c r="E183" s="8">
        <f t="shared" si="12"/>
        <v>4.0039200000000001E-4</v>
      </c>
    </row>
    <row r="184" spans="1:5">
      <c r="A184" t="s">
        <v>533</v>
      </c>
      <c r="B184" t="s">
        <v>294</v>
      </c>
      <c r="C184" s="53">
        <v>14600</v>
      </c>
      <c r="D184" s="8">
        <f t="shared" si="11"/>
        <v>2.92E-4</v>
      </c>
      <c r="E184" s="8">
        <f t="shared" si="12"/>
        <v>3.9127999999999998E-4</v>
      </c>
    </row>
    <row r="185" spans="1:5">
      <c r="A185" t="s">
        <v>534</v>
      </c>
      <c r="C185" s="53">
        <v>12000</v>
      </c>
      <c r="D185" s="8">
        <f t="shared" si="11"/>
        <v>2.4000000000000001E-4</v>
      </c>
      <c r="E185" s="8">
        <f t="shared" si="12"/>
        <v>3.2160000000000001E-4</v>
      </c>
    </row>
    <row r="186" spans="1:5">
      <c r="A186" t="s">
        <v>535</v>
      </c>
      <c r="C186" s="53">
        <v>11000</v>
      </c>
      <c r="D186" s="8">
        <f t="shared" si="11"/>
        <v>2.2000000000000001E-4</v>
      </c>
      <c r="E186" s="8">
        <f t="shared" si="12"/>
        <v>2.9480000000000001E-4</v>
      </c>
    </row>
    <row r="187" spans="1:5">
      <c r="A187" t="s">
        <v>536</v>
      </c>
      <c r="B187" t="s">
        <v>294</v>
      </c>
      <c r="C187" s="53">
        <v>10380</v>
      </c>
      <c r="D187" s="8">
        <f t="shared" si="11"/>
        <v>2.076E-4</v>
      </c>
      <c r="E187" s="8">
        <f t="shared" si="12"/>
        <v>2.7818400000000001E-4</v>
      </c>
    </row>
    <row r="188" spans="1:5">
      <c r="A188" t="s">
        <v>537</v>
      </c>
      <c r="B188" t="s">
        <v>292</v>
      </c>
      <c r="C188" s="53">
        <v>10240</v>
      </c>
      <c r="D188" s="8">
        <f t="shared" si="11"/>
        <v>2.0479999999999999E-4</v>
      </c>
      <c r="E188" s="8">
        <f t="shared" si="12"/>
        <v>2.7443200000000002E-4</v>
      </c>
    </row>
    <row r="189" spans="1:5">
      <c r="A189" t="s">
        <v>538</v>
      </c>
      <c r="C189" s="53">
        <v>10000</v>
      </c>
      <c r="D189" s="8">
        <f t="shared" si="11"/>
        <v>2.0000000000000001E-4</v>
      </c>
      <c r="E189" s="8">
        <f t="shared" si="12"/>
        <v>2.6800000000000001E-4</v>
      </c>
    </row>
    <row r="190" spans="1:5">
      <c r="A190" t="s">
        <v>539</v>
      </c>
      <c r="C190" s="53">
        <v>10000</v>
      </c>
      <c r="D190" s="8">
        <f t="shared" si="11"/>
        <v>2.0000000000000001E-4</v>
      </c>
      <c r="E190" s="8">
        <f t="shared" si="12"/>
        <v>2.6800000000000001E-4</v>
      </c>
    </row>
    <row r="191" spans="1:5">
      <c r="A191" t="s">
        <v>540</v>
      </c>
      <c r="C191" s="53">
        <v>8300</v>
      </c>
      <c r="D191" s="8">
        <f t="shared" si="11"/>
        <v>1.66E-4</v>
      </c>
      <c r="E191" s="8">
        <f t="shared" si="12"/>
        <v>2.2243999999999999E-4</v>
      </c>
    </row>
    <row r="192" spans="1:5">
      <c r="A192" t="s">
        <v>541</v>
      </c>
      <c r="C192" s="53">
        <v>8000</v>
      </c>
      <c r="D192" s="8">
        <f t="shared" si="11"/>
        <v>1.6000000000000001E-4</v>
      </c>
      <c r="E192" s="8">
        <f t="shared" si="12"/>
        <v>2.1440000000000001E-4</v>
      </c>
    </row>
    <row r="193" spans="1:5">
      <c r="A193" t="s">
        <v>542</v>
      </c>
      <c r="B193" t="s">
        <v>293</v>
      </c>
      <c r="C193" s="53">
        <v>8000</v>
      </c>
      <c r="D193" s="8">
        <f t="shared" si="11"/>
        <v>1.6000000000000001E-4</v>
      </c>
      <c r="E193" s="8">
        <f t="shared" si="12"/>
        <v>2.1440000000000001E-4</v>
      </c>
    </row>
    <row r="194" spans="1:5">
      <c r="A194" t="s">
        <v>543</v>
      </c>
      <c r="C194" s="53">
        <v>7000</v>
      </c>
      <c r="D194" s="8">
        <f t="shared" si="11"/>
        <v>1.3999999999999999E-4</v>
      </c>
      <c r="E194" s="8">
        <f t="shared" si="12"/>
        <v>1.8760000000000001E-4</v>
      </c>
    </row>
    <row r="195" spans="1:5">
      <c r="A195" t="s">
        <v>544</v>
      </c>
      <c r="C195" s="53">
        <v>6900</v>
      </c>
      <c r="D195" s="8">
        <f t="shared" si="11"/>
        <v>1.3799999999999999E-4</v>
      </c>
      <c r="E195" s="8">
        <f t="shared" si="12"/>
        <v>1.8492000000000001E-4</v>
      </c>
    </row>
    <row r="196" spans="1:5">
      <c r="A196" t="s">
        <v>545</v>
      </c>
      <c r="C196" s="53">
        <v>6000</v>
      </c>
      <c r="D196" s="8">
        <f t="shared" si="11"/>
        <v>1.2E-4</v>
      </c>
      <c r="E196" s="8">
        <f t="shared" si="12"/>
        <v>1.6080000000000001E-4</v>
      </c>
    </row>
    <row r="197" spans="1:5">
      <c r="A197" t="s">
        <v>546</v>
      </c>
      <c r="C197" s="53">
        <v>5100</v>
      </c>
      <c r="D197" s="8">
        <f t="shared" ref="D197:D225" si="13">C197*$H$3/10^9</f>
        <v>1.02E-4</v>
      </c>
      <c r="E197" s="8">
        <f t="shared" ref="E197:E225" si="14">C197*$H$4/10^9</f>
        <v>1.3668E-4</v>
      </c>
    </row>
    <row r="198" spans="1:5">
      <c r="A198" t="s">
        <v>547</v>
      </c>
      <c r="C198" s="53">
        <v>5000</v>
      </c>
      <c r="D198" s="8">
        <f t="shared" si="13"/>
        <v>1E-4</v>
      </c>
      <c r="E198" s="8">
        <f t="shared" si="14"/>
        <v>1.34E-4</v>
      </c>
    </row>
    <row r="199" spans="1:5">
      <c r="A199" t="s">
        <v>548</v>
      </c>
      <c r="C199" s="53">
        <v>4900</v>
      </c>
      <c r="D199" s="8">
        <f t="shared" si="13"/>
        <v>9.7999999999999997E-5</v>
      </c>
      <c r="E199" s="8">
        <f t="shared" si="14"/>
        <v>1.3132000000000001E-4</v>
      </c>
    </row>
    <row r="200" spans="1:5">
      <c r="A200" t="s">
        <v>549</v>
      </c>
      <c r="C200" s="53">
        <v>4600</v>
      </c>
      <c r="D200" s="8">
        <f t="shared" si="13"/>
        <v>9.2E-5</v>
      </c>
      <c r="E200" s="8">
        <f t="shared" si="14"/>
        <v>1.2328E-4</v>
      </c>
    </row>
    <row r="201" spans="1:5">
      <c r="A201" t="s">
        <v>550</v>
      </c>
      <c r="C201" s="53">
        <v>4100</v>
      </c>
      <c r="D201" s="8">
        <f t="shared" si="13"/>
        <v>8.2000000000000001E-5</v>
      </c>
      <c r="E201" s="8">
        <f t="shared" si="14"/>
        <v>1.0988E-4</v>
      </c>
    </row>
    <row r="202" spans="1:5">
      <c r="A202" t="s">
        <v>551</v>
      </c>
      <c r="C202" s="53">
        <v>4000</v>
      </c>
      <c r="D202" s="8">
        <f t="shared" si="13"/>
        <v>8.0000000000000007E-5</v>
      </c>
      <c r="E202" s="8">
        <f t="shared" si="14"/>
        <v>1.072E-4</v>
      </c>
    </row>
    <row r="203" spans="1:5">
      <c r="A203" t="s">
        <v>552</v>
      </c>
      <c r="C203" s="53">
        <v>4000</v>
      </c>
      <c r="D203" s="8">
        <f t="shared" si="13"/>
        <v>8.0000000000000007E-5</v>
      </c>
      <c r="E203" s="8">
        <f t="shared" si="14"/>
        <v>1.072E-4</v>
      </c>
    </row>
    <row r="204" spans="1:5">
      <c r="A204" t="s">
        <v>553</v>
      </c>
      <c r="C204" s="53">
        <v>3820</v>
      </c>
      <c r="D204" s="8">
        <f t="shared" si="13"/>
        <v>7.64E-5</v>
      </c>
      <c r="E204" s="8">
        <f t="shared" si="14"/>
        <v>1.02376E-4</v>
      </c>
    </row>
    <row r="205" spans="1:5">
      <c r="A205" t="s">
        <v>554</v>
      </c>
      <c r="C205" s="53">
        <v>3000</v>
      </c>
      <c r="D205" s="8">
        <f t="shared" si="13"/>
        <v>6.0000000000000002E-5</v>
      </c>
      <c r="E205" s="8">
        <f t="shared" si="14"/>
        <v>8.0400000000000003E-5</v>
      </c>
    </row>
    <row r="206" spans="1:5">
      <c r="A206" t="s">
        <v>555</v>
      </c>
      <c r="B206" t="s">
        <v>294</v>
      </c>
      <c r="C206" s="53">
        <v>3000</v>
      </c>
      <c r="D206" s="8">
        <f t="shared" si="13"/>
        <v>6.0000000000000002E-5</v>
      </c>
      <c r="E206" s="8">
        <f t="shared" si="14"/>
        <v>8.0400000000000003E-5</v>
      </c>
    </row>
    <row r="207" spans="1:5">
      <c r="A207" t="s">
        <v>556</v>
      </c>
      <c r="B207" t="s">
        <v>294</v>
      </c>
      <c r="C207" s="53">
        <v>2160</v>
      </c>
      <c r="D207" s="8">
        <f t="shared" si="13"/>
        <v>4.32E-5</v>
      </c>
      <c r="E207" s="8">
        <f t="shared" si="14"/>
        <v>5.7887999999999999E-5</v>
      </c>
    </row>
    <row r="208" spans="1:5">
      <c r="A208" t="s">
        <v>557</v>
      </c>
      <c r="C208" s="53">
        <v>2000</v>
      </c>
      <c r="D208" s="8">
        <f t="shared" si="13"/>
        <v>4.0000000000000003E-5</v>
      </c>
      <c r="E208" s="8">
        <f t="shared" si="14"/>
        <v>5.3600000000000002E-5</v>
      </c>
    </row>
    <row r="209" spans="1:5">
      <c r="A209" t="s">
        <v>558</v>
      </c>
      <c r="C209" s="53">
        <v>2000</v>
      </c>
      <c r="D209" s="8">
        <f t="shared" si="13"/>
        <v>4.0000000000000003E-5</v>
      </c>
      <c r="E209" s="8">
        <f t="shared" si="14"/>
        <v>5.3600000000000002E-5</v>
      </c>
    </row>
    <row r="210" spans="1:5">
      <c r="A210" t="s">
        <v>559</v>
      </c>
      <c r="C210" s="53">
        <v>2000</v>
      </c>
      <c r="D210" s="8">
        <f t="shared" si="13"/>
        <v>4.0000000000000003E-5</v>
      </c>
      <c r="E210" s="8">
        <f t="shared" si="14"/>
        <v>5.3600000000000002E-5</v>
      </c>
    </row>
    <row r="211" spans="1:5">
      <c r="A211" t="s">
        <v>560</v>
      </c>
      <c r="C211" s="53">
        <v>2000</v>
      </c>
      <c r="D211" s="8">
        <f t="shared" si="13"/>
        <v>4.0000000000000003E-5</v>
      </c>
      <c r="E211" s="8">
        <f t="shared" si="14"/>
        <v>5.3600000000000002E-5</v>
      </c>
    </row>
    <row r="212" spans="1:5">
      <c r="A212" t="s">
        <v>561</v>
      </c>
      <c r="C212" s="53">
        <v>2000</v>
      </c>
      <c r="D212" s="8">
        <f t="shared" si="13"/>
        <v>4.0000000000000003E-5</v>
      </c>
      <c r="E212" s="8">
        <f t="shared" si="14"/>
        <v>5.3600000000000002E-5</v>
      </c>
    </row>
    <row r="213" spans="1:5">
      <c r="A213" t="s">
        <v>562</v>
      </c>
      <c r="C213" s="53">
        <v>2000</v>
      </c>
      <c r="D213" s="8">
        <f t="shared" si="13"/>
        <v>4.0000000000000003E-5</v>
      </c>
      <c r="E213" s="8">
        <f t="shared" si="14"/>
        <v>5.3600000000000002E-5</v>
      </c>
    </row>
    <row r="214" spans="1:5">
      <c r="A214" t="s">
        <v>563</v>
      </c>
      <c r="C214" s="53">
        <v>2000</v>
      </c>
      <c r="D214" s="8">
        <f t="shared" si="13"/>
        <v>4.0000000000000003E-5</v>
      </c>
      <c r="E214" s="8">
        <f t="shared" si="14"/>
        <v>5.3600000000000002E-5</v>
      </c>
    </row>
    <row r="215" spans="1:5">
      <c r="A215" t="s">
        <v>564</v>
      </c>
      <c r="C215" s="53">
        <v>1800</v>
      </c>
      <c r="D215" s="8">
        <f t="shared" si="13"/>
        <v>3.6000000000000001E-5</v>
      </c>
      <c r="E215" s="8">
        <f t="shared" si="14"/>
        <v>4.8239999999999999E-5</v>
      </c>
    </row>
    <row r="216" spans="1:5">
      <c r="A216" t="s">
        <v>565</v>
      </c>
      <c r="C216" s="53">
        <v>1550</v>
      </c>
      <c r="D216" s="8">
        <f t="shared" si="13"/>
        <v>3.1000000000000001E-5</v>
      </c>
      <c r="E216" s="8">
        <f t="shared" si="14"/>
        <v>4.1539999999999999E-5</v>
      </c>
    </row>
    <row r="217" spans="1:5">
      <c r="A217" t="s">
        <v>566</v>
      </c>
      <c r="C217" s="53">
        <v>1500</v>
      </c>
      <c r="D217" s="8">
        <f t="shared" si="13"/>
        <v>3.0000000000000001E-5</v>
      </c>
      <c r="E217" s="8">
        <f t="shared" si="14"/>
        <v>4.0200000000000001E-5</v>
      </c>
    </row>
    <row r="218" spans="1:5">
      <c r="A218" t="s">
        <v>567</v>
      </c>
      <c r="C218" s="53">
        <v>1000</v>
      </c>
      <c r="D218" s="8">
        <f t="shared" si="13"/>
        <v>2.0000000000000002E-5</v>
      </c>
      <c r="E218" s="8">
        <f t="shared" si="14"/>
        <v>2.6800000000000001E-5</v>
      </c>
    </row>
    <row r="219" spans="1:5">
      <c r="A219" t="s">
        <v>568</v>
      </c>
      <c r="C219" s="53">
        <v>1000</v>
      </c>
      <c r="D219" s="8">
        <f t="shared" si="13"/>
        <v>2.0000000000000002E-5</v>
      </c>
      <c r="E219" s="8">
        <f t="shared" si="14"/>
        <v>2.6800000000000001E-5</v>
      </c>
    </row>
    <row r="220" spans="1:5">
      <c r="A220" t="s">
        <v>569</v>
      </c>
      <c r="B220" t="s">
        <v>294</v>
      </c>
      <c r="C220">
        <v>820</v>
      </c>
      <c r="D220" s="8">
        <f t="shared" si="13"/>
        <v>1.6399999999999999E-5</v>
      </c>
      <c r="E220" s="8">
        <f t="shared" si="14"/>
        <v>2.1976000000000001E-5</v>
      </c>
    </row>
    <row r="221" spans="1:5">
      <c r="A221" t="s">
        <v>570</v>
      </c>
      <c r="C221">
        <v>700</v>
      </c>
      <c r="D221" s="8">
        <f t="shared" si="13"/>
        <v>1.4E-5</v>
      </c>
      <c r="E221" s="8">
        <f t="shared" si="14"/>
        <v>1.876E-5</v>
      </c>
    </row>
    <row r="222" spans="1:5">
      <c r="A222" t="s">
        <v>571</v>
      </c>
      <c r="B222" t="s">
        <v>292</v>
      </c>
      <c r="C222">
        <v>660</v>
      </c>
      <c r="D222" s="8">
        <f t="shared" si="13"/>
        <v>1.3200000000000001E-5</v>
      </c>
      <c r="E222" s="8">
        <f t="shared" si="14"/>
        <v>1.7688000000000001E-5</v>
      </c>
    </row>
    <row r="223" spans="1:5">
      <c r="A223" t="s">
        <v>572</v>
      </c>
      <c r="C223">
        <v>600</v>
      </c>
      <c r="D223" s="8">
        <f t="shared" si="13"/>
        <v>1.2E-5</v>
      </c>
      <c r="E223" s="8">
        <f t="shared" si="14"/>
        <v>1.6079999999999999E-5</v>
      </c>
    </row>
    <row r="224" spans="1:5">
      <c r="A224" t="s">
        <v>573</v>
      </c>
      <c r="C224">
        <v>400</v>
      </c>
      <c r="D224" s="8">
        <f t="shared" si="13"/>
        <v>7.9999999999999996E-6</v>
      </c>
      <c r="E224" s="8">
        <f t="shared" si="14"/>
        <v>1.0720000000000001E-5</v>
      </c>
    </row>
    <row r="225" spans="1:5">
      <c r="A225" t="s">
        <v>574</v>
      </c>
      <c r="C225">
        <v>300</v>
      </c>
      <c r="D225" s="8">
        <f t="shared" si="13"/>
        <v>6.0000000000000002E-6</v>
      </c>
      <c r="E225" s="8">
        <f t="shared" si="14"/>
        <v>8.0399999999999993E-6</v>
      </c>
    </row>
  </sheetData>
  <hyperlinks>
    <hyperlink ref="C1" r:id="rId1" xr:uid="{60D620C4-E638-164D-8E95-AA83E811A089}"/>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253F3-DBAC-6D42-8E8F-87707DDCBE62}">
  <dimension ref="A1:AB63"/>
  <sheetViews>
    <sheetView zoomScale="80" zoomScaleNormal="80" workbookViewId="0">
      <selection activeCell="N32" sqref="N32"/>
    </sheetView>
  </sheetViews>
  <sheetFormatPr defaultColWidth="11.5546875" defaultRowHeight="15"/>
  <cols>
    <col min="22" max="22" width="11.44140625" bestFit="1" customWidth="1"/>
  </cols>
  <sheetData>
    <row r="1" spans="1:28">
      <c r="A1" s="24"/>
    </row>
    <row r="2" spans="1: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1: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1: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6" spans="1:28" ht="15.75">
      <c r="C6" s="13" t="s">
        <v>70</v>
      </c>
      <c r="D6" s="4"/>
      <c r="E6" s="4"/>
      <c r="F6" s="4"/>
      <c r="G6" s="4"/>
      <c r="H6" s="4"/>
      <c r="I6" s="14"/>
      <c r="J6" s="13" t="s">
        <v>287</v>
      </c>
      <c r="K6" s="4"/>
      <c r="L6" s="4"/>
      <c r="M6" s="4"/>
      <c r="N6" s="4"/>
      <c r="O6" s="4"/>
      <c r="P6" s="4"/>
      <c r="Q6" s="4"/>
      <c r="R6" s="4"/>
      <c r="S6" s="4"/>
      <c r="T6" s="4"/>
      <c r="U6" s="4"/>
      <c r="V6" s="4"/>
      <c r="W6" s="4"/>
      <c r="X6" s="4"/>
      <c r="Y6" s="4"/>
      <c r="Z6" s="4"/>
      <c r="AA6" s="4"/>
      <c r="AB6" s="4"/>
    </row>
    <row r="7" spans="1:28" ht="16.5" thickBot="1">
      <c r="C7" s="43" t="s">
        <v>8</v>
      </c>
      <c r="D7" s="43" t="s">
        <v>9</v>
      </c>
      <c r="E7" s="43" t="s">
        <v>10</v>
      </c>
      <c r="F7" s="43" t="s">
        <v>11</v>
      </c>
      <c r="G7" s="43" t="s">
        <v>12</v>
      </c>
      <c r="H7" s="43" t="s">
        <v>13</v>
      </c>
      <c r="I7" s="44"/>
      <c r="J7" s="43" t="s">
        <v>8</v>
      </c>
      <c r="K7" s="43" t="s">
        <v>11</v>
      </c>
      <c r="L7" s="43">
        <v>2020</v>
      </c>
      <c r="M7" s="43">
        <v>2025</v>
      </c>
      <c r="N7" s="43">
        <v>2030</v>
      </c>
      <c r="O7" s="43">
        <v>2035</v>
      </c>
      <c r="P7" s="43">
        <v>2040</v>
      </c>
      <c r="Q7" s="43">
        <v>2045</v>
      </c>
      <c r="R7" s="43">
        <v>2050</v>
      </c>
      <c r="S7" s="43">
        <v>2055</v>
      </c>
      <c r="T7" s="43">
        <v>2060</v>
      </c>
      <c r="U7" s="43">
        <v>2065</v>
      </c>
      <c r="V7" s="43">
        <v>2070</v>
      </c>
      <c r="W7" s="43">
        <v>2075</v>
      </c>
      <c r="X7" s="43">
        <v>2080</v>
      </c>
      <c r="Y7" s="43">
        <v>2085</v>
      </c>
      <c r="Z7" s="43">
        <v>2090</v>
      </c>
      <c r="AA7" s="43">
        <v>2095</v>
      </c>
      <c r="AB7" s="43">
        <v>2100</v>
      </c>
    </row>
    <row r="8" spans="1:28" ht="15.75">
      <c r="C8" t="s">
        <v>14</v>
      </c>
      <c r="D8" t="s">
        <v>620</v>
      </c>
      <c r="E8" s="8">
        <f>26344600/(365*10000)</f>
        <v>7.2176986301369865</v>
      </c>
      <c r="F8" t="s">
        <v>622</v>
      </c>
      <c r="G8" s="8">
        <f>E8/1.2</f>
        <v>6.0147488584474891</v>
      </c>
      <c r="H8" s="64" t="s">
        <v>342</v>
      </c>
      <c r="I8" s="15"/>
      <c r="J8" t="s">
        <v>14</v>
      </c>
      <c r="K8" t="s">
        <v>343</v>
      </c>
      <c r="L8" s="62">
        <f>G8</f>
        <v>6.0147488584474891</v>
      </c>
      <c r="M8" s="62">
        <f>L8</f>
        <v>6.0147488584474891</v>
      </c>
      <c r="N8" s="62">
        <f t="shared" ref="N8:AB8" si="0">M8</f>
        <v>6.0147488584474891</v>
      </c>
      <c r="O8" s="62">
        <f t="shared" si="0"/>
        <v>6.0147488584474891</v>
      </c>
      <c r="P8" s="62">
        <f t="shared" si="0"/>
        <v>6.0147488584474891</v>
      </c>
      <c r="Q8" s="62">
        <f t="shared" si="0"/>
        <v>6.0147488584474891</v>
      </c>
      <c r="R8" s="62">
        <f t="shared" si="0"/>
        <v>6.0147488584474891</v>
      </c>
      <c r="S8" s="62">
        <f t="shared" si="0"/>
        <v>6.0147488584474891</v>
      </c>
      <c r="T8" s="62">
        <f t="shared" si="0"/>
        <v>6.0147488584474891</v>
      </c>
      <c r="U8" s="62">
        <f t="shared" si="0"/>
        <v>6.0147488584474891</v>
      </c>
      <c r="V8" s="62">
        <f t="shared" si="0"/>
        <v>6.0147488584474891</v>
      </c>
      <c r="W8" s="62">
        <f t="shared" si="0"/>
        <v>6.0147488584474891</v>
      </c>
      <c r="X8" s="62">
        <f t="shared" si="0"/>
        <v>6.0147488584474891</v>
      </c>
      <c r="Y8" s="62">
        <f t="shared" si="0"/>
        <v>6.0147488584474891</v>
      </c>
      <c r="Z8" s="62">
        <f t="shared" si="0"/>
        <v>6.0147488584474891</v>
      </c>
      <c r="AA8" s="62">
        <f t="shared" si="0"/>
        <v>6.0147488584474891</v>
      </c>
      <c r="AB8" s="62">
        <f t="shared" si="0"/>
        <v>6.0147488584474891</v>
      </c>
    </row>
    <row r="9" spans="1:28" ht="15.75">
      <c r="C9" t="s">
        <v>19</v>
      </c>
      <c r="D9" t="s">
        <v>621</v>
      </c>
      <c r="E9">
        <f>6.3-0.81</f>
        <v>5.49</v>
      </c>
      <c r="F9" t="s">
        <v>623</v>
      </c>
      <c r="G9" s="8">
        <f>E9/1.2</f>
        <v>4.5750000000000002</v>
      </c>
      <c r="H9" s="64" t="s">
        <v>342</v>
      </c>
      <c r="I9" s="15"/>
      <c r="J9" t="s">
        <v>19</v>
      </c>
      <c r="K9" t="s">
        <v>346</v>
      </c>
      <c r="L9" s="62">
        <f t="shared" ref="L9:L13" si="1">G9</f>
        <v>4.5750000000000002</v>
      </c>
      <c r="M9" s="62">
        <f t="shared" ref="M9:AB14" si="2">L9</f>
        <v>4.5750000000000002</v>
      </c>
      <c r="N9" s="62">
        <f t="shared" si="2"/>
        <v>4.5750000000000002</v>
      </c>
      <c r="O9" s="62">
        <f t="shared" si="2"/>
        <v>4.5750000000000002</v>
      </c>
      <c r="P9" s="62">
        <f t="shared" si="2"/>
        <v>4.5750000000000002</v>
      </c>
      <c r="Q9" s="62">
        <f t="shared" si="2"/>
        <v>4.5750000000000002</v>
      </c>
      <c r="R9" s="62">
        <f t="shared" si="2"/>
        <v>4.5750000000000002</v>
      </c>
      <c r="S9" s="62">
        <f t="shared" si="2"/>
        <v>4.5750000000000002</v>
      </c>
      <c r="T9" s="62">
        <f t="shared" si="2"/>
        <v>4.5750000000000002</v>
      </c>
      <c r="U9" s="62">
        <f t="shared" si="2"/>
        <v>4.5750000000000002</v>
      </c>
      <c r="V9" s="62">
        <f t="shared" si="2"/>
        <v>4.5750000000000002</v>
      </c>
      <c r="W9" s="62">
        <f t="shared" si="2"/>
        <v>4.5750000000000002</v>
      </c>
      <c r="X9" s="62">
        <f t="shared" si="2"/>
        <v>4.5750000000000002</v>
      </c>
      <c r="Y9" s="62">
        <f t="shared" si="2"/>
        <v>4.5750000000000002</v>
      </c>
      <c r="Z9" s="62">
        <f t="shared" si="2"/>
        <v>4.5750000000000002</v>
      </c>
      <c r="AA9" s="62">
        <f t="shared" si="2"/>
        <v>4.5750000000000002</v>
      </c>
      <c r="AB9" s="62">
        <f t="shared" si="2"/>
        <v>4.5750000000000002</v>
      </c>
    </row>
    <row r="10" spans="1:28" ht="15.75">
      <c r="C10" t="s">
        <v>20</v>
      </c>
      <c r="D10" t="s">
        <v>621</v>
      </c>
      <c r="F10" t="s">
        <v>623</v>
      </c>
      <c r="H10" s="64"/>
      <c r="I10" s="15"/>
      <c r="J10" t="s">
        <v>20</v>
      </c>
      <c r="K10" t="s">
        <v>346</v>
      </c>
      <c r="L10" s="62">
        <f t="shared" si="1"/>
        <v>0</v>
      </c>
      <c r="M10" s="62">
        <f t="shared" si="2"/>
        <v>0</v>
      </c>
      <c r="N10" s="62">
        <f t="shared" si="2"/>
        <v>0</v>
      </c>
      <c r="O10" s="62">
        <f t="shared" si="2"/>
        <v>0</v>
      </c>
      <c r="P10" s="62">
        <f t="shared" si="2"/>
        <v>0</v>
      </c>
      <c r="Q10" s="62">
        <f t="shared" si="2"/>
        <v>0</v>
      </c>
      <c r="R10" s="62">
        <f t="shared" si="2"/>
        <v>0</v>
      </c>
      <c r="S10" s="62">
        <f t="shared" si="2"/>
        <v>0</v>
      </c>
      <c r="T10" s="62">
        <f t="shared" si="2"/>
        <v>0</v>
      </c>
      <c r="U10" s="62">
        <f t="shared" si="2"/>
        <v>0</v>
      </c>
      <c r="V10" s="62">
        <f t="shared" si="2"/>
        <v>0</v>
      </c>
      <c r="W10" s="62">
        <f t="shared" si="2"/>
        <v>0</v>
      </c>
      <c r="X10" s="62">
        <f t="shared" si="2"/>
        <v>0</v>
      </c>
      <c r="Y10" s="62">
        <f t="shared" si="2"/>
        <v>0</v>
      </c>
      <c r="Z10" s="62">
        <f t="shared" si="2"/>
        <v>0</v>
      </c>
      <c r="AA10" s="62">
        <f t="shared" si="2"/>
        <v>0</v>
      </c>
      <c r="AB10" s="62">
        <f t="shared" si="2"/>
        <v>0</v>
      </c>
    </row>
    <row r="11" spans="1:28" ht="15.75">
      <c r="C11" t="s">
        <v>15</v>
      </c>
      <c r="D11" t="s">
        <v>21</v>
      </c>
      <c r="E11">
        <v>10</v>
      </c>
      <c r="F11" t="s">
        <v>21</v>
      </c>
      <c r="G11">
        <f>E11</f>
        <v>10</v>
      </c>
      <c r="H11" s="64" t="s">
        <v>342</v>
      </c>
      <c r="I11" s="15"/>
      <c r="J11" t="s">
        <v>15</v>
      </c>
      <c r="K11" t="s">
        <v>21</v>
      </c>
      <c r="L11" s="59">
        <f t="shared" si="1"/>
        <v>10</v>
      </c>
      <c r="M11" s="62">
        <f t="shared" si="2"/>
        <v>10</v>
      </c>
      <c r="N11" s="62">
        <f t="shared" si="2"/>
        <v>10</v>
      </c>
      <c r="O11" s="62">
        <f t="shared" si="2"/>
        <v>10</v>
      </c>
      <c r="P11" s="62">
        <f t="shared" si="2"/>
        <v>10</v>
      </c>
      <c r="Q11" s="62">
        <f t="shared" si="2"/>
        <v>10</v>
      </c>
      <c r="R11" s="62">
        <f t="shared" si="2"/>
        <v>10</v>
      </c>
      <c r="S11" s="62">
        <f t="shared" si="2"/>
        <v>10</v>
      </c>
      <c r="T11" s="62">
        <f t="shared" si="2"/>
        <v>10</v>
      </c>
      <c r="U11" s="62">
        <f t="shared" si="2"/>
        <v>10</v>
      </c>
      <c r="V11" s="62">
        <f t="shared" si="2"/>
        <v>10</v>
      </c>
      <c r="W11" s="62">
        <f t="shared" si="2"/>
        <v>10</v>
      </c>
      <c r="X11" s="62">
        <f t="shared" si="2"/>
        <v>10</v>
      </c>
      <c r="Y11" s="62">
        <f t="shared" si="2"/>
        <v>10</v>
      </c>
      <c r="Z11" s="62">
        <f t="shared" si="2"/>
        <v>10</v>
      </c>
      <c r="AA11" s="62">
        <f t="shared" si="2"/>
        <v>10</v>
      </c>
      <c r="AB11" s="62">
        <f t="shared" si="2"/>
        <v>10</v>
      </c>
    </row>
    <row r="12" spans="1:28" ht="15.75">
      <c r="C12" t="s">
        <v>16</v>
      </c>
      <c r="D12" t="s">
        <v>22</v>
      </c>
      <c r="F12" t="s">
        <v>22</v>
      </c>
      <c r="H12" s="64"/>
      <c r="I12" s="15"/>
      <c r="J12" t="s">
        <v>16</v>
      </c>
      <c r="K12" t="s">
        <v>22</v>
      </c>
      <c r="L12" s="59">
        <f>L3*8760</f>
        <v>7884</v>
      </c>
      <c r="M12" s="62">
        <f t="shared" si="2"/>
        <v>7884</v>
      </c>
      <c r="N12" s="62">
        <f t="shared" si="2"/>
        <v>7884</v>
      </c>
      <c r="O12" s="62">
        <f t="shared" si="2"/>
        <v>7884</v>
      </c>
      <c r="P12" s="62">
        <f t="shared" si="2"/>
        <v>7884</v>
      </c>
      <c r="Q12" s="62">
        <f t="shared" si="2"/>
        <v>7884</v>
      </c>
      <c r="R12" s="62">
        <f t="shared" si="2"/>
        <v>7884</v>
      </c>
      <c r="S12" s="62">
        <f t="shared" si="2"/>
        <v>7884</v>
      </c>
      <c r="T12" s="62">
        <f t="shared" si="2"/>
        <v>7884</v>
      </c>
      <c r="U12" s="62">
        <f t="shared" si="2"/>
        <v>7884</v>
      </c>
      <c r="V12" s="62">
        <f t="shared" si="2"/>
        <v>7884</v>
      </c>
      <c r="W12" s="62">
        <f t="shared" si="2"/>
        <v>7884</v>
      </c>
      <c r="X12" s="62">
        <f t="shared" si="2"/>
        <v>7884</v>
      </c>
      <c r="Y12" s="62">
        <f t="shared" si="2"/>
        <v>7884</v>
      </c>
      <c r="Z12" s="62">
        <f t="shared" si="2"/>
        <v>7884</v>
      </c>
      <c r="AA12" s="62">
        <f t="shared" si="2"/>
        <v>7884</v>
      </c>
      <c r="AB12" s="62">
        <f t="shared" si="2"/>
        <v>7884</v>
      </c>
    </row>
    <row r="13" spans="1:28" ht="15.75">
      <c r="C13" t="s">
        <v>29</v>
      </c>
      <c r="D13" s="2" t="s">
        <v>7</v>
      </c>
      <c r="F13" s="2" t="s">
        <v>7</v>
      </c>
      <c r="H13" s="64"/>
      <c r="I13" s="15"/>
      <c r="J13" t="s">
        <v>29</v>
      </c>
      <c r="K13" s="2" t="s">
        <v>7</v>
      </c>
      <c r="L13" s="59">
        <f t="shared" si="1"/>
        <v>0</v>
      </c>
      <c r="M13" s="62">
        <f t="shared" si="2"/>
        <v>0</v>
      </c>
      <c r="N13" s="62">
        <f t="shared" si="2"/>
        <v>0</v>
      </c>
      <c r="O13" s="62">
        <f t="shared" si="2"/>
        <v>0</v>
      </c>
      <c r="P13" s="62">
        <f t="shared" si="2"/>
        <v>0</v>
      </c>
      <c r="Q13" s="62">
        <f t="shared" si="2"/>
        <v>0</v>
      </c>
      <c r="R13" s="62">
        <f t="shared" si="2"/>
        <v>0</v>
      </c>
      <c r="S13" s="62">
        <f t="shared" si="2"/>
        <v>0</v>
      </c>
      <c r="T13" s="62">
        <f t="shared" si="2"/>
        <v>0</v>
      </c>
      <c r="U13" s="62">
        <f t="shared" si="2"/>
        <v>0</v>
      </c>
      <c r="V13" s="62">
        <f t="shared" si="2"/>
        <v>0</v>
      </c>
      <c r="W13" s="62">
        <f t="shared" si="2"/>
        <v>0</v>
      </c>
      <c r="X13" s="62">
        <f t="shared" si="2"/>
        <v>0</v>
      </c>
      <c r="Y13" s="62">
        <f t="shared" si="2"/>
        <v>0</v>
      </c>
      <c r="Z13" s="62">
        <f t="shared" si="2"/>
        <v>0</v>
      </c>
      <c r="AA13" s="62">
        <f t="shared" si="2"/>
        <v>0</v>
      </c>
      <c r="AB13" s="62">
        <f t="shared" si="2"/>
        <v>0</v>
      </c>
    </row>
    <row r="14" spans="1:28" ht="15.75">
      <c r="D14" s="2"/>
      <c r="F14" s="2"/>
      <c r="H14" s="64"/>
      <c r="I14" s="15"/>
      <c r="J14" t="s">
        <v>17</v>
      </c>
      <c r="K14" s="2" t="s">
        <v>7</v>
      </c>
      <c r="L14" s="62">
        <f>(L$2*(1+L$2)^L11)/((1+L$2)^L11-1)</f>
        <v>0.14237750272736471</v>
      </c>
      <c r="M14" s="62">
        <f t="shared" si="2"/>
        <v>0.14237750272736471</v>
      </c>
      <c r="N14" s="62">
        <f t="shared" si="2"/>
        <v>0.14237750272736471</v>
      </c>
      <c r="O14" s="62">
        <f t="shared" si="2"/>
        <v>0.14237750272736471</v>
      </c>
      <c r="P14" s="62">
        <f t="shared" si="2"/>
        <v>0.14237750272736471</v>
      </c>
      <c r="Q14" s="62">
        <f t="shared" si="2"/>
        <v>0.14237750272736471</v>
      </c>
      <c r="R14" s="62">
        <f t="shared" si="2"/>
        <v>0.14237750272736471</v>
      </c>
      <c r="S14" s="62">
        <f t="shared" si="2"/>
        <v>0.14237750272736471</v>
      </c>
      <c r="T14" s="62">
        <f t="shared" si="2"/>
        <v>0.14237750272736471</v>
      </c>
      <c r="U14" s="62">
        <f t="shared" si="2"/>
        <v>0.14237750272736471</v>
      </c>
      <c r="V14" s="62">
        <f t="shared" si="2"/>
        <v>0.14237750272736471</v>
      </c>
      <c r="W14" s="62">
        <f t="shared" si="2"/>
        <v>0.14237750272736471</v>
      </c>
      <c r="X14" s="62">
        <f t="shared" si="2"/>
        <v>0.14237750272736471</v>
      </c>
      <c r="Y14" s="62">
        <f t="shared" si="2"/>
        <v>0.14237750272736471</v>
      </c>
      <c r="Z14" s="62">
        <f t="shared" si="2"/>
        <v>0.14237750272736471</v>
      </c>
      <c r="AA14" s="62">
        <f t="shared" si="2"/>
        <v>0.14237750272736471</v>
      </c>
      <c r="AB14" s="62">
        <f t="shared" si="2"/>
        <v>0.14237750272736471</v>
      </c>
    </row>
    <row r="15" spans="1:28" ht="16.5" thickBot="1">
      <c r="H15" s="64"/>
      <c r="I15" s="15"/>
      <c r="J15" s="63" t="s">
        <v>28</v>
      </c>
      <c r="K15" s="63" t="s">
        <v>346</v>
      </c>
      <c r="L15" s="61">
        <f>(L8*L14)/(L12/8760)+L9+L10</f>
        <v>5.5265165799978018</v>
      </c>
      <c r="M15" s="61">
        <f>(M8*M14)/(M12/8760)+M9+M10</f>
        <v>5.5265165799978018</v>
      </c>
      <c r="N15" s="61">
        <f t="shared" ref="N15:AB15" si="3">(N8*N14)/(N12/8760)+N9+N10</f>
        <v>5.5265165799978018</v>
      </c>
      <c r="O15" s="61">
        <f t="shared" si="3"/>
        <v>5.5265165799978018</v>
      </c>
      <c r="P15" s="61">
        <f t="shared" si="3"/>
        <v>5.5265165799978018</v>
      </c>
      <c r="Q15" s="61">
        <f t="shared" si="3"/>
        <v>5.5265165799978018</v>
      </c>
      <c r="R15" s="61">
        <f t="shared" si="3"/>
        <v>5.5265165799978018</v>
      </c>
      <c r="S15" s="61">
        <f t="shared" si="3"/>
        <v>5.5265165799978018</v>
      </c>
      <c r="T15" s="61">
        <f t="shared" si="3"/>
        <v>5.5265165799978018</v>
      </c>
      <c r="U15" s="61">
        <f t="shared" si="3"/>
        <v>5.5265165799978018</v>
      </c>
      <c r="V15" s="61">
        <f t="shared" si="3"/>
        <v>5.5265165799978018</v>
      </c>
      <c r="W15" s="61">
        <f t="shared" si="3"/>
        <v>5.5265165799978018</v>
      </c>
      <c r="X15" s="61">
        <f t="shared" si="3"/>
        <v>5.5265165799978018</v>
      </c>
      <c r="Y15" s="61">
        <f t="shared" si="3"/>
        <v>5.5265165799978018</v>
      </c>
      <c r="Z15" s="61">
        <f t="shared" si="3"/>
        <v>5.5265165799978018</v>
      </c>
      <c r="AA15" s="61">
        <f t="shared" si="3"/>
        <v>5.5265165799978018</v>
      </c>
      <c r="AB15" s="61">
        <f t="shared" si="3"/>
        <v>5.5265165799978018</v>
      </c>
    </row>
    <row r="16" spans="1:28" ht="16.5" thickTop="1">
      <c r="C16" t="s">
        <v>23</v>
      </c>
      <c r="D16" t="s">
        <v>624</v>
      </c>
      <c r="E16">
        <v>5.2300000000000003E-3</v>
      </c>
      <c r="F16" t="s">
        <v>624</v>
      </c>
      <c r="G16">
        <f>E16</f>
        <v>5.2300000000000003E-3</v>
      </c>
      <c r="H16" s="64" t="s">
        <v>52</v>
      </c>
      <c r="I16" s="15"/>
      <c r="J16" t="s">
        <v>23</v>
      </c>
      <c r="K16" t="s">
        <v>347</v>
      </c>
      <c r="L16" s="59">
        <f>G16</f>
        <v>5.2300000000000003E-3</v>
      </c>
      <c r="M16" s="62">
        <f>L16</f>
        <v>5.2300000000000003E-3</v>
      </c>
      <c r="N16" s="62">
        <f t="shared" ref="N16:AB16" si="4">M16</f>
        <v>5.2300000000000003E-3</v>
      </c>
      <c r="O16" s="62">
        <f t="shared" si="4"/>
        <v>5.2300000000000003E-3</v>
      </c>
      <c r="P16" s="62">
        <f t="shared" si="4"/>
        <v>5.2300000000000003E-3</v>
      </c>
      <c r="Q16" s="62">
        <f t="shared" si="4"/>
        <v>5.2300000000000003E-3</v>
      </c>
      <c r="R16" s="62">
        <f t="shared" si="4"/>
        <v>5.2300000000000003E-3</v>
      </c>
      <c r="S16" s="62">
        <f t="shared" si="4"/>
        <v>5.2300000000000003E-3</v>
      </c>
      <c r="T16" s="62">
        <f t="shared" si="4"/>
        <v>5.2300000000000003E-3</v>
      </c>
      <c r="U16" s="62">
        <f t="shared" si="4"/>
        <v>5.2300000000000003E-3</v>
      </c>
      <c r="V16" s="62">
        <f t="shared" si="4"/>
        <v>5.2300000000000003E-3</v>
      </c>
      <c r="W16" s="62">
        <f t="shared" si="4"/>
        <v>5.2300000000000003E-3</v>
      </c>
      <c r="X16" s="62">
        <f t="shared" si="4"/>
        <v>5.2300000000000003E-3</v>
      </c>
      <c r="Y16" s="62">
        <f t="shared" si="4"/>
        <v>5.2300000000000003E-3</v>
      </c>
      <c r="Z16" s="62">
        <f t="shared" si="4"/>
        <v>5.2300000000000003E-3</v>
      </c>
      <c r="AA16" s="62">
        <f t="shared" si="4"/>
        <v>5.2300000000000003E-3</v>
      </c>
      <c r="AB16" s="62">
        <f t="shared" si="4"/>
        <v>5.2300000000000003E-3</v>
      </c>
    </row>
    <row r="17" spans="3:28" ht="15.75">
      <c r="C17" t="s">
        <v>24</v>
      </c>
      <c r="D17" t="s">
        <v>625</v>
      </c>
      <c r="E17">
        <v>0</v>
      </c>
      <c r="F17" t="s">
        <v>625</v>
      </c>
      <c r="G17">
        <v>0</v>
      </c>
      <c r="H17" s="64"/>
      <c r="I17" s="15"/>
      <c r="J17" t="s">
        <v>24</v>
      </c>
      <c r="K17" t="s">
        <v>607</v>
      </c>
      <c r="L17" s="59">
        <f t="shared" ref="L17:L18" si="5">G17</f>
        <v>0</v>
      </c>
      <c r="M17" s="62">
        <f t="shared" ref="M17:AB18" si="6">L17</f>
        <v>0</v>
      </c>
      <c r="N17" s="62">
        <f t="shared" si="6"/>
        <v>0</v>
      </c>
      <c r="O17" s="62">
        <f t="shared" si="6"/>
        <v>0</v>
      </c>
      <c r="P17" s="62">
        <f t="shared" si="6"/>
        <v>0</v>
      </c>
      <c r="Q17" s="62">
        <f t="shared" si="6"/>
        <v>0</v>
      </c>
      <c r="R17" s="62">
        <f t="shared" si="6"/>
        <v>0</v>
      </c>
      <c r="S17" s="62">
        <f t="shared" si="6"/>
        <v>0</v>
      </c>
      <c r="T17" s="62">
        <f t="shared" si="6"/>
        <v>0</v>
      </c>
      <c r="U17" s="62">
        <f t="shared" si="6"/>
        <v>0</v>
      </c>
      <c r="V17" s="62">
        <f t="shared" si="6"/>
        <v>0</v>
      </c>
      <c r="W17" s="62">
        <f t="shared" si="6"/>
        <v>0</v>
      </c>
      <c r="X17" s="62">
        <f t="shared" si="6"/>
        <v>0</v>
      </c>
      <c r="Y17" s="62">
        <f t="shared" si="6"/>
        <v>0</v>
      </c>
      <c r="Z17" s="62">
        <f t="shared" si="6"/>
        <v>0</v>
      </c>
      <c r="AA17" s="62">
        <f t="shared" si="6"/>
        <v>0</v>
      </c>
      <c r="AB17" s="62">
        <f t="shared" si="6"/>
        <v>0</v>
      </c>
    </row>
    <row r="18" spans="3:28" ht="15.75">
      <c r="C18" t="s">
        <v>25</v>
      </c>
      <c r="D18" t="s">
        <v>625</v>
      </c>
      <c r="E18">
        <v>0</v>
      </c>
      <c r="F18" t="s">
        <v>625</v>
      </c>
      <c r="G18">
        <v>0</v>
      </c>
      <c r="H18" s="64"/>
      <c r="I18" s="15"/>
      <c r="J18" t="s">
        <v>25</v>
      </c>
      <c r="K18" t="s">
        <v>607</v>
      </c>
      <c r="L18" s="59">
        <f t="shared" si="5"/>
        <v>0</v>
      </c>
      <c r="M18" s="62">
        <f t="shared" si="6"/>
        <v>0</v>
      </c>
      <c r="N18" s="62">
        <f t="shared" si="6"/>
        <v>0</v>
      </c>
      <c r="O18" s="62">
        <f t="shared" si="6"/>
        <v>0</v>
      </c>
      <c r="P18" s="62">
        <f t="shared" si="6"/>
        <v>0</v>
      </c>
      <c r="Q18" s="62">
        <f t="shared" si="6"/>
        <v>0</v>
      </c>
      <c r="R18" s="62">
        <f t="shared" si="6"/>
        <v>0</v>
      </c>
      <c r="S18" s="62">
        <f t="shared" si="6"/>
        <v>0</v>
      </c>
      <c r="T18" s="62">
        <f t="shared" si="6"/>
        <v>0</v>
      </c>
      <c r="U18" s="62">
        <f t="shared" si="6"/>
        <v>0</v>
      </c>
      <c r="V18" s="62">
        <f t="shared" si="6"/>
        <v>0</v>
      </c>
      <c r="W18" s="62">
        <f t="shared" si="6"/>
        <v>0</v>
      </c>
      <c r="X18" s="62">
        <f t="shared" si="6"/>
        <v>0</v>
      </c>
      <c r="Y18" s="62">
        <f t="shared" si="6"/>
        <v>0</v>
      </c>
      <c r="Z18" s="62">
        <f t="shared" si="6"/>
        <v>0</v>
      </c>
      <c r="AA18" s="62">
        <f t="shared" si="6"/>
        <v>0</v>
      </c>
      <c r="AB18" s="62">
        <f t="shared" si="6"/>
        <v>0</v>
      </c>
    </row>
    <row r="19" spans="3:28" ht="16.5" thickBot="1">
      <c r="I19" s="15"/>
      <c r="J19" s="63" t="s">
        <v>42</v>
      </c>
      <c r="K19" s="63" t="s">
        <v>346</v>
      </c>
      <c r="L19" s="61">
        <f>L15+L16*L4</f>
        <v>5.7425155799978018</v>
      </c>
      <c r="M19" s="61">
        <f t="shared" ref="M19:AB19" si="7">M15+M16*M4</f>
        <v>5.7425155799978018</v>
      </c>
      <c r="N19" s="61">
        <f t="shared" si="7"/>
        <v>5.7425155799978018</v>
      </c>
      <c r="O19" s="61">
        <f t="shared" si="7"/>
        <v>5.7312710799978017</v>
      </c>
      <c r="P19" s="61">
        <f t="shared" si="7"/>
        <v>5.7200265799978016</v>
      </c>
      <c r="Q19" s="61">
        <f t="shared" si="7"/>
        <v>5.6674650799978021</v>
      </c>
      <c r="R19" s="61">
        <f t="shared" si="7"/>
        <v>5.6149035799978018</v>
      </c>
      <c r="S19" s="61">
        <f t="shared" si="7"/>
        <v>5.6115040799978022</v>
      </c>
      <c r="T19" s="61">
        <f t="shared" si="7"/>
        <v>5.6081045799978018</v>
      </c>
      <c r="U19" s="61">
        <f t="shared" si="7"/>
        <v>5.6047050799978013</v>
      </c>
      <c r="V19" s="61">
        <f t="shared" si="7"/>
        <v>5.6013055799978018</v>
      </c>
      <c r="W19" s="61">
        <f t="shared" si="7"/>
        <v>5.6013055799978018</v>
      </c>
      <c r="X19" s="61">
        <f t="shared" si="7"/>
        <v>5.6013055799978018</v>
      </c>
      <c r="Y19" s="61">
        <f t="shared" si="7"/>
        <v>5.6013055799978018</v>
      </c>
      <c r="Z19" s="61">
        <f t="shared" si="7"/>
        <v>5.6013055799978018</v>
      </c>
      <c r="AA19" s="61">
        <f t="shared" si="7"/>
        <v>5.6013055799978018</v>
      </c>
      <c r="AB19" s="61">
        <f t="shared" si="7"/>
        <v>5.6013055799978018</v>
      </c>
    </row>
    <row r="20" spans="3:28" ht="15.75" thickTop="1">
      <c r="E20" s="5"/>
      <c r="G20" s="5"/>
      <c r="H20" s="5"/>
      <c r="I20" s="15"/>
    </row>
    <row r="23" spans="3:28" ht="15.75">
      <c r="C23" s="3" t="s">
        <v>355</v>
      </c>
    </row>
    <row r="24" spans="3:28">
      <c r="C24" t="s">
        <v>112</v>
      </c>
      <c r="D24" t="s">
        <v>354</v>
      </c>
      <c r="E24">
        <f>0.01*277.8</f>
        <v>2.778</v>
      </c>
      <c r="F24" t="s">
        <v>356</v>
      </c>
    </row>
    <row r="25" spans="3:28">
      <c r="E25">
        <f>0.03*277.8</f>
        <v>8.3339999999999996</v>
      </c>
    </row>
    <row r="26" spans="3:28">
      <c r="C26" t="s">
        <v>357</v>
      </c>
      <c r="D26" t="s">
        <v>354</v>
      </c>
      <c r="E26">
        <v>27.8</v>
      </c>
      <c r="F26" t="s">
        <v>356</v>
      </c>
    </row>
    <row r="27" spans="3:28">
      <c r="E27">
        <v>83.3</v>
      </c>
    </row>
    <row r="37" spans="3:6">
      <c r="C37" t="s">
        <v>130</v>
      </c>
      <c r="F37" t="s">
        <v>135</v>
      </c>
    </row>
    <row r="39" spans="3:6">
      <c r="C39" t="s">
        <v>131</v>
      </c>
      <c r="D39" t="s">
        <v>133</v>
      </c>
      <c r="E39" t="s">
        <v>132</v>
      </c>
      <c r="F39" t="s">
        <v>134</v>
      </c>
    </row>
    <row r="40" spans="3:6">
      <c r="C40">
        <v>1</v>
      </c>
      <c r="D40">
        <f>C40*365/10^6</f>
        <v>3.6499999999999998E-4</v>
      </c>
      <c r="E40">
        <f>C40^0.6*600000/10^6</f>
        <v>0.6</v>
      </c>
      <c r="F40" s="8">
        <f>C40^0.6*600000/D40/10^6/1.2</f>
        <v>1369.8630136986301</v>
      </c>
    </row>
    <row r="41" spans="3:6">
      <c r="C41">
        <f>C40*2</f>
        <v>2</v>
      </c>
      <c r="D41">
        <f t="shared" ref="D41:D43" si="8">C41*365/10^6</f>
        <v>7.2999999999999996E-4</v>
      </c>
      <c r="E41" s="8">
        <f t="shared" ref="E41:E44" si="9">C41^0.6*600000/10^6</f>
        <v>0.90942993990623877</v>
      </c>
      <c r="F41" s="8">
        <f t="shared" ref="F41:F58" si="10">C41^0.6*600000/D41/10^6/1.2</f>
        <v>1038.1620318564374</v>
      </c>
    </row>
    <row r="42" spans="3:6">
      <c r="C42">
        <f t="shared" ref="C42:C44" si="11">C41*2</f>
        <v>4</v>
      </c>
      <c r="D42">
        <f t="shared" si="8"/>
        <v>1.4599999999999999E-3</v>
      </c>
      <c r="E42" s="8">
        <f t="shared" si="9"/>
        <v>1.3784380259964422</v>
      </c>
      <c r="F42" s="8">
        <f t="shared" si="10"/>
        <v>786.7796952034488</v>
      </c>
    </row>
    <row r="43" spans="3:6">
      <c r="C43">
        <f t="shared" si="11"/>
        <v>8</v>
      </c>
      <c r="D43">
        <f t="shared" si="8"/>
        <v>2.9199999999999999E-3</v>
      </c>
      <c r="E43" s="8">
        <f t="shared" si="9"/>
        <v>2.0893213519106979</v>
      </c>
      <c r="F43" s="8">
        <f t="shared" si="10"/>
        <v>596.26750910693443</v>
      </c>
    </row>
    <row r="44" spans="3:6">
      <c r="C44">
        <f t="shared" si="11"/>
        <v>16</v>
      </c>
      <c r="D44">
        <f>C44*365/10^6</f>
        <v>5.8399999999999997E-3</v>
      </c>
      <c r="E44" s="8">
        <f t="shared" si="9"/>
        <v>3.1668189858549463</v>
      </c>
      <c r="F44" s="8">
        <f t="shared" si="10"/>
        <v>451.88627081263502</v>
      </c>
    </row>
    <row r="45" spans="3:6">
      <c r="C45">
        <f t="shared" ref="C45:C62" si="12">C44*2</f>
        <v>32</v>
      </c>
      <c r="D45">
        <f t="shared" ref="D45:D58" si="13">C45*365/10^6</f>
        <v>1.1679999999999999E-2</v>
      </c>
      <c r="E45" s="8">
        <f t="shared" ref="E45:E58" si="14">C45^0.6*600000/10^6</f>
        <v>4.7999999999999989</v>
      </c>
      <c r="F45" s="8">
        <f t="shared" si="10"/>
        <v>342.46575342465746</v>
      </c>
    </row>
    <row r="46" spans="3:6">
      <c r="C46">
        <f t="shared" si="12"/>
        <v>64</v>
      </c>
      <c r="D46">
        <f t="shared" si="13"/>
        <v>2.3359999999999999E-2</v>
      </c>
      <c r="E46" s="8">
        <f t="shared" si="14"/>
        <v>7.2754395192499102</v>
      </c>
      <c r="F46" s="8">
        <f t="shared" si="10"/>
        <v>259.54050796410934</v>
      </c>
    </row>
    <row r="47" spans="3:6">
      <c r="C47">
        <f t="shared" si="12"/>
        <v>128</v>
      </c>
      <c r="D47">
        <f t="shared" si="13"/>
        <v>4.6719999999999998E-2</v>
      </c>
      <c r="E47" s="8">
        <f t="shared" si="14"/>
        <v>11.027504207971536</v>
      </c>
      <c r="F47" s="8">
        <f t="shared" si="10"/>
        <v>196.69492380086217</v>
      </c>
    </row>
    <row r="48" spans="3:6">
      <c r="C48">
        <f t="shared" si="12"/>
        <v>256</v>
      </c>
      <c r="D48">
        <f t="shared" si="13"/>
        <v>9.3439999999999995E-2</v>
      </c>
      <c r="E48" s="8">
        <f t="shared" si="14"/>
        <v>16.714570815285583</v>
      </c>
      <c r="F48" s="8">
        <f t="shared" si="10"/>
        <v>149.06687727673361</v>
      </c>
    </row>
    <row r="49" spans="2:6">
      <c r="C49">
        <f t="shared" si="12"/>
        <v>512</v>
      </c>
      <c r="D49">
        <f t="shared" si="13"/>
        <v>0.18687999999999999</v>
      </c>
      <c r="E49" s="8">
        <f t="shared" si="14"/>
        <v>25.334551886839563</v>
      </c>
      <c r="F49" s="8">
        <f t="shared" si="10"/>
        <v>112.97156770315873</v>
      </c>
    </row>
    <row r="50" spans="2:6">
      <c r="C50">
        <f t="shared" si="12"/>
        <v>1024</v>
      </c>
      <c r="D50">
        <f t="shared" si="13"/>
        <v>0.37375999999999998</v>
      </c>
      <c r="E50" s="8">
        <f t="shared" si="14"/>
        <v>38.399999999999984</v>
      </c>
      <c r="F50" s="8">
        <f t="shared" si="10"/>
        <v>85.616438356164352</v>
      </c>
    </row>
    <row r="51" spans="2:6">
      <c r="C51">
        <f t="shared" si="12"/>
        <v>2048</v>
      </c>
      <c r="D51">
        <f t="shared" si="13"/>
        <v>0.74751999999999996</v>
      </c>
      <c r="E51" s="8">
        <f t="shared" si="14"/>
        <v>58.203516153999267</v>
      </c>
      <c r="F51" s="8">
        <f t="shared" si="10"/>
        <v>64.885126991027306</v>
      </c>
    </row>
    <row r="52" spans="2:6">
      <c r="C52">
        <f t="shared" si="12"/>
        <v>4096</v>
      </c>
      <c r="D52">
        <f t="shared" si="13"/>
        <v>1.4950399999999999</v>
      </c>
      <c r="E52" s="8">
        <f t="shared" si="14"/>
        <v>88.220033663772256</v>
      </c>
      <c r="F52" s="8">
        <f t="shared" si="10"/>
        <v>49.173730950215521</v>
      </c>
    </row>
    <row r="53" spans="2:6">
      <c r="C53">
        <f t="shared" si="12"/>
        <v>8192</v>
      </c>
      <c r="D53">
        <f t="shared" si="13"/>
        <v>2.9900799999999998</v>
      </c>
      <c r="E53" s="8">
        <f t="shared" si="14"/>
        <v>133.71656652228464</v>
      </c>
      <c r="F53" s="8">
        <f t="shared" si="10"/>
        <v>37.266719319183395</v>
      </c>
    </row>
    <row r="54" spans="2:6">
      <c r="C54">
        <f t="shared" si="12"/>
        <v>16384</v>
      </c>
      <c r="D54">
        <f t="shared" si="13"/>
        <v>5.9801599999999997</v>
      </c>
      <c r="E54" s="8">
        <f t="shared" si="14"/>
        <v>202.67641509471653</v>
      </c>
      <c r="F54" s="8">
        <f t="shared" si="10"/>
        <v>28.242891925789682</v>
      </c>
    </row>
    <row r="55" spans="2:6">
      <c r="C55">
        <f t="shared" si="12"/>
        <v>32768</v>
      </c>
      <c r="D55">
        <f t="shared" si="13"/>
        <v>11.960319999999999</v>
      </c>
      <c r="E55" s="8">
        <f t="shared" si="14"/>
        <v>307.19999999999993</v>
      </c>
      <c r="F55" s="8">
        <f t="shared" si="10"/>
        <v>21.404109589041092</v>
      </c>
    </row>
    <row r="56" spans="2:6">
      <c r="C56">
        <f t="shared" si="12"/>
        <v>65536</v>
      </c>
      <c r="D56">
        <f t="shared" si="13"/>
        <v>23.920639999999999</v>
      </c>
      <c r="E56" s="8">
        <f t="shared" si="14"/>
        <v>465.62812923199425</v>
      </c>
      <c r="F56" s="8">
        <f t="shared" si="10"/>
        <v>16.221281747756834</v>
      </c>
    </row>
    <row r="57" spans="2:6">
      <c r="C57">
        <f t="shared" si="12"/>
        <v>131072</v>
      </c>
      <c r="D57">
        <f t="shared" si="13"/>
        <v>47.841279999999998</v>
      </c>
      <c r="E57" s="8">
        <f t="shared" si="14"/>
        <v>705.76026931017839</v>
      </c>
      <c r="F57" s="8">
        <f t="shared" si="10"/>
        <v>12.293432737553887</v>
      </c>
    </row>
    <row r="58" spans="2:6">
      <c r="C58">
        <f t="shared" si="12"/>
        <v>262144</v>
      </c>
      <c r="D58">
        <f t="shared" si="13"/>
        <v>95.682559999999995</v>
      </c>
      <c r="E58" s="8">
        <f t="shared" si="14"/>
        <v>1069.7325321782766</v>
      </c>
      <c r="F58" s="8">
        <f t="shared" si="10"/>
        <v>9.3166798297958433</v>
      </c>
    </row>
    <row r="59" spans="2:6">
      <c r="C59">
        <f t="shared" si="12"/>
        <v>524288</v>
      </c>
      <c r="D59">
        <f t="shared" ref="D59:D62" si="15">C59*365/10^6</f>
        <v>191.36511999999999</v>
      </c>
      <c r="E59" s="8">
        <f t="shared" ref="E59:E62" si="16">C59^0.6*600000/10^6</f>
        <v>1621.4113207577311</v>
      </c>
      <c r="F59" s="8">
        <f t="shared" ref="F59:F62" si="17">C59^0.6*600000/D59/10^6/1.2</f>
        <v>7.0607229814474177</v>
      </c>
    </row>
    <row r="60" spans="2:6">
      <c r="C60">
        <f t="shared" si="12"/>
        <v>1048576</v>
      </c>
      <c r="D60">
        <f t="shared" si="15"/>
        <v>382.73023999999998</v>
      </c>
      <c r="E60" s="8">
        <f t="shared" si="16"/>
        <v>2457.5999999999981</v>
      </c>
      <c r="F60" s="8">
        <f t="shared" si="17"/>
        <v>5.3510273972602702</v>
      </c>
    </row>
    <row r="61" spans="2:6">
      <c r="C61">
        <f t="shared" si="12"/>
        <v>2097152</v>
      </c>
      <c r="D61">
        <f t="shared" si="15"/>
        <v>765.46047999999996</v>
      </c>
      <c r="E61" s="8">
        <f t="shared" si="16"/>
        <v>3725.0250338559517</v>
      </c>
      <c r="F61" s="8">
        <f t="shared" si="17"/>
        <v>4.055320436939204</v>
      </c>
    </row>
    <row r="62" spans="2:6">
      <c r="C62">
        <f t="shared" si="12"/>
        <v>4194304</v>
      </c>
      <c r="D62">
        <f t="shared" si="15"/>
        <v>1530.9209599999999</v>
      </c>
      <c r="E62" s="8">
        <f t="shared" si="16"/>
        <v>5646.0821544814225</v>
      </c>
      <c r="F62" s="8">
        <f t="shared" si="17"/>
        <v>3.0733581843884696</v>
      </c>
    </row>
    <row r="63" spans="2:6">
      <c r="B63" t="s">
        <v>348</v>
      </c>
      <c r="C63">
        <f>10000</f>
        <v>10000</v>
      </c>
      <c r="D63">
        <f>C63*365/10^6</f>
        <v>3.65</v>
      </c>
      <c r="E63" s="8"/>
      <c r="F63" s="8">
        <f>G8</f>
        <v>6.0147488584474891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95E6-82FA-3241-ADB1-729DC828AC7A}">
  <dimension ref="A1:AB67"/>
  <sheetViews>
    <sheetView zoomScale="80" zoomScaleNormal="80" workbookViewId="0">
      <selection activeCell="H32" sqref="H32"/>
    </sheetView>
  </sheetViews>
  <sheetFormatPr defaultColWidth="11.5546875" defaultRowHeight="15"/>
  <sheetData>
    <row r="1" spans="1:28">
      <c r="A1" s="24"/>
    </row>
    <row r="2" spans="1: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1: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1: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6" spans="1:28" ht="15.75">
      <c r="C6" s="13" t="s">
        <v>349</v>
      </c>
      <c r="D6" s="4"/>
      <c r="E6" s="4"/>
      <c r="F6" s="4"/>
      <c r="G6" s="4"/>
      <c r="H6" s="4"/>
      <c r="I6" s="14"/>
      <c r="J6" s="13" t="s">
        <v>287</v>
      </c>
      <c r="K6" s="4"/>
      <c r="L6" s="4"/>
      <c r="M6" s="4"/>
      <c r="N6" s="4"/>
      <c r="O6" s="4"/>
      <c r="P6" s="4"/>
      <c r="Q6" s="4"/>
      <c r="R6" s="4"/>
      <c r="S6" s="4"/>
      <c r="T6" s="4"/>
      <c r="U6" s="4"/>
      <c r="V6" s="4"/>
      <c r="W6" s="4"/>
      <c r="X6" s="4"/>
      <c r="Y6" s="4"/>
      <c r="Z6" s="4"/>
      <c r="AA6" s="4"/>
      <c r="AB6" s="4"/>
    </row>
    <row r="7" spans="1:28" ht="16.5" thickBot="1">
      <c r="C7" s="43" t="s">
        <v>8</v>
      </c>
      <c r="D7" s="43" t="s">
        <v>9</v>
      </c>
      <c r="E7" s="43" t="s">
        <v>10</v>
      </c>
      <c r="F7" s="43" t="s">
        <v>11</v>
      </c>
      <c r="G7" s="43" t="s">
        <v>12</v>
      </c>
      <c r="H7" s="43" t="s">
        <v>13</v>
      </c>
      <c r="I7" s="44"/>
      <c r="J7" s="43" t="s">
        <v>8</v>
      </c>
      <c r="K7" s="43" t="s">
        <v>11</v>
      </c>
      <c r="L7" s="43">
        <v>2020</v>
      </c>
      <c r="M7" s="43">
        <v>2025</v>
      </c>
      <c r="N7" s="43">
        <v>2030</v>
      </c>
      <c r="O7" s="43">
        <v>2035</v>
      </c>
      <c r="P7" s="43">
        <v>2040</v>
      </c>
      <c r="Q7" s="43">
        <v>2045</v>
      </c>
      <c r="R7" s="43">
        <v>2050</v>
      </c>
      <c r="S7" s="43">
        <v>2055</v>
      </c>
      <c r="T7" s="43">
        <v>2060</v>
      </c>
      <c r="U7" s="43">
        <v>2065</v>
      </c>
      <c r="V7" s="43">
        <v>2070</v>
      </c>
      <c r="W7" s="43">
        <v>2075</v>
      </c>
      <c r="X7" s="43">
        <v>2080</v>
      </c>
      <c r="Y7" s="43">
        <v>2085</v>
      </c>
      <c r="Z7" s="43">
        <v>2090</v>
      </c>
      <c r="AA7" s="43">
        <v>2095</v>
      </c>
      <c r="AB7" s="43">
        <v>2100</v>
      </c>
    </row>
    <row r="8" spans="1:28" ht="15.75">
      <c r="C8" t="s">
        <v>353</v>
      </c>
      <c r="D8" t="s">
        <v>612</v>
      </c>
      <c r="E8" s="67">
        <v>0.05</v>
      </c>
      <c r="F8" t="s">
        <v>613</v>
      </c>
      <c r="G8" s="8">
        <f>E8/1.2*Conversion!J8/Conversion!E8</f>
        <v>4.4250000000000005E-2</v>
      </c>
      <c r="H8" t="s">
        <v>619</v>
      </c>
      <c r="I8" s="15"/>
      <c r="J8" t="s">
        <v>353</v>
      </c>
      <c r="K8" t="s">
        <v>613</v>
      </c>
      <c r="L8" s="62">
        <f>G8</f>
        <v>4.4250000000000005E-2</v>
      </c>
      <c r="M8" s="62">
        <f>L8</f>
        <v>4.4250000000000005E-2</v>
      </c>
      <c r="N8" s="62">
        <f t="shared" ref="N8:AB8" si="0">M8</f>
        <v>4.4250000000000005E-2</v>
      </c>
      <c r="O8" s="62">
        <f t="shared" si="0"/>
        <v>4.4250000000000005E-2</v>
      </c>
      <c r="P8" s="62">
        <f t="shared" si="0"/>
        <v>4.4250000000000005E-2</v>
      </c>
      <c r="Q8" s="62">
        <f t="shared" si="0"/>
        <v>4.4250000000000005E-2</v>
      </c>
      <c r="R8" s="62">
        <f t="shared" si="0"/>
        <v>4.4250000000000005E-2</v>
      </c>
      <c r="S8" s="62">
        <f t="shared" si="0"/>
        <v>4.4250000000000005E-2</v>
      </c>
      <c r="T8" s="62">
        <f t="shared" si="0"/>
        <v>4.4250000000000005E-2</v>
      </c>
      <c r="U8" s="62">
        <f t="shared" si="0"/>
        <v>4.4250000000000005E-2</v>
      </c>
      <c r="V8" s="62">
        <f t="shared" si="0"/>
        <v>4.4250000000000005E-2</v>
      </c>
      <c r="W8" s="62">
        <f t="shared" si="0"/>
        <v>4.4250000000000005E-2</v>
      </c>
      <c r="X8" s="62">
        <f t="shared" si="0"/>
        <v>4.4250000000000005E-2</v>
      </c>
      <c r="Y8" s="62">
        <f t="shared" si="0"/>
        <v>4.4250000000000005E-2</v>
      </c>
      <c r="Z8" s="62">
        <f t="shared" si="0"/>
        <v>4.4250000000000005E-2</v>
      </c>
      <c r="AA8" s="62">
        <f t="shared" si="0"/>
        <v>4.4250000000000005E-2</v>
      </c>
      <c r="AB8" s="62">
        <f t="shared" si="0"/>
        <v>4.4250000000000005E-2</v>
      </c>
    </row>
    <row r="9" spans="1:28">
      <c r="G9" s="8"/>
      <c r="I9" s="15"/>
      <c r="L9" s="8">
        <f>L8*100</f>
        <v>4.4250000000000007</v>
      </c>
    </row>
    <row r="10" spans="1:28">
      <c r="I10" s="15"/>
      <c r="L10" s="8"/>
    </row>
    <row r="11" spans="1:28">
      <c r="I11" s="15"/>
      <c r="L11" s="2"/>
    </row>
    <row r="12" spans="1:28">
      <c r="I12" s="15"/>
      <c r="L12" s="2"/>
    </row>
    <row r="13" spans="1:28">
      <c r="D13" s="2"/>
      <c r="F13" s="2"/>
      <c r="I13" s="15"/>
      <c r="K13" s="2"/>
      <c r="L13" s="2"/>
    </row>
    <row r="14" spans="1:28">
      <c r="D14" s="2"/>
      <c r="F14" s="2"/>
      <c r="I14" s="15"/>
      <c r="K14" s="2"/>
      <c r="L14" s="52"/>
    </row>
    <row r="15" spans="1:28" ht="16.5" thickBot="1">
      <c r="I15" s="15"/>
      <c r="J15" s="63" t="s">
        <v>28</v>
      </c>
      <c r="K15" s="63" t="s">
        <v>615</v>
      </c>
      <c r="L15" s="66">
        <f>L8</f>
        <v>4.4250000000000005E-2</v>
      </c>
      <c r="M15" s="66">
        <f t="shared" ref="M15:AB15" si="1">M8</f>
        <v>4.4250000000000005E-2</v>
      </c>
      <c r="N15" s="66">
        <f t="shared" si="1"/>
        <v>4.4250000000000005E-2</v>
      </c>
      <c r="O15" s="66">
        <f t="shared" si="1"/>
        <v>4.4250000000000005E-2</v>
      </c>
      <c r="P15" s="66">
        <f t="shared" si="1"/>
        <v>4.4250000000000005E-2</v>
      </c>
      <c r="Q15" s="66">
        <f t="shared" si="1"/>
        <v>4.4250000000000005E-2</v>
      </c>
      <c r="R15" s="66">
        <f t="shared" si="1"/>
        <v>4.4250000000000005E-2</v>
      </c>
      <c r="S15" s="66">
        <f t="shared" si="1"/>
        <v>4.4250000000000005E-2</v>
      </c>
      <c r="T15" s="66">
        <f t="shared" si="1"/>
        <v>4.4250000000000005E-2</v>
      </c>
      <c r="U15" s="66">
        <f t="shared" si="1"/>
        <v>4.4250000000000005E-2</v>
      </c>
      <c r="V15" s="66">
        <f t="shared" si="1"/>
        <v>4.4250000000000005E-2</v>
      </c>
      <c r="W15" s="66">
        <f t="shared" si="1"/>
        <v>4.4250000000000005E-2</v>
      </c>
      <c r="X15" s="66">
        <f t="shared" si="1"/>
        <v>4.4250000000000005E-2</v>
      </c>
      <c r="Y15" s="66">
        <f t="shared" si="1"/>
        <v>4.4250000000000005E-2</v>
      </c>
      <c r="Z15" s="66">
        <f t="shared" si="1"/>
        <v>4.4250000000000005E-2</v>
      </c>
      <c r="AA15" s="66">
        <f t="shared" si="1"/>
        <v>4.4250000000000005E-2</v>
      </c>
      <c r="AB15" s="66">
        <f t="shared" si="1"/>
        <v>4.4250000000000005E-2</v>
      </c>
    </row>
    <row r="16" spans="1:28" ht="16.5" thickTop="1">
      <c r="C16" t="s">
        <v>23</v>
      </c>
      <c r="D16" t="s">
        <v>614</v>
      </c>
      <c r="E16" s="69">
        <v>1.38</v>
      </c>
      <c r="F16" t="s">
        <v>616</v>
      </c>
      <c r="G16">
        <f>E16/1000</f>
        <v>1.3799999999999999E-3</v>
      </c>
      <c r="H16" t="s">
        <v>342</v>
      </c>
      <c r="I16" s="15"/>
      <c r="J16" t="s">
        <v>23</v>
      </c>
      <c r="K16" t="s">
        <v>616</v>
      </c>
      <c r="L16" s="59">
        <f>G16</f>
        <v>1.3799999999999999E-3</v>
      </c>
      <c r="M16" s="59">
        <f>L16</f>
        <v>1.3799999999999999E-3</v>
      </c>
      <c r="N16" s="59">
        <f t="shared" ref="N16:AB16" si="2">M16</f>
        <v>1.3799999999999999E-3</v>
      </c>
      <c r="O16" s="59">
        <f t="shared" si="2"/>
        <v>1.3799999999999999E-3</v>
      </c>
      <c r="P16" s="59">
        <f t="shared" si="2"/>
        <v>1.3799999999999999E-3</v>
      </c>
      <c r="Q16" s="59">
        <f t="shared" si="2"/>
        <v>1.3799999999999999E-3</v>
      </c>
      <c r="R16" s="59">
        <f t="shared" si="2"/>
        <v>1.3799999999999999E-3</v>
      </c>
      <c r="S16" s="59">
        <f t="shared" si="2"/>
        <v>1.3799999999999999E-3</v>
      </c>
      <c r="T16" s="59">
        <f t="shared" si="2"/>
        <v>1.3799999999999999E-3</v>
      </c>
      <c r="U16" s="59">
        <f t="shared" si="2"/>
        <v>1.3799999999999999E-3</v>
      </c>
      <c r="V16" s="59">
        <f t="shared" si="2"/>
        <v>1.3799999999999999E-3</v>
      </c>
      <c r="W16" s="59">
        <f t="shared" si="2"/>
        <v>1.3799999999999999E-3</v>
      </c>
      <c r="X16" s="59">
        <f t="shared" si="2"/>
        <v>1.3799999999999999E-3</v>
      </c>
      <c r="Y16" s="59">
        <f t="shared" si="2"/>
        <v>1.3799999999999999E-3</v>
      </c>
      <c r="Z16" s="59">
        <f t="shared" si="2"/>
        <v>1.3799999999999999E-3</v>
      </c>
      <c r="AA16" s="59">
        <f t="shared" si="2"/>
        <v>1.3799999999999999E-3</v>
      </c>
      <c r="AB16" s="59">
        <f t="shared" si="2"/>
        <v>1.3799999999999999E-3</v>
      </c>
    </row>
    <row r="17" spans="3:28" ht="15.75">
      <c r="I17" s="15"/>
      <c r="J17" t="s">
        <v>24</v>
      </c>
      <c r="K17" t="s">
        <v>616</v>
      </c>
      <c r="L17" s="59">
        <f t="shared" ref="L17:L18" si="3">G17</f>
        <v>0</v>
      </c>
      <c r="M17" s="59">
        <f t="shared" ref="M17:AB18" si="4">L17</f>
        <v>0</v>
      </c>
      <c r="N17" s="59">
        <f t="shared" si="4"/>
        <v>0</v>
      </c>
      <c r="O17" s="59">
        <f t="shared" si="4"/>
        <v>0</v>
      </c>
      <c r="P17" s="59">
        <f t="shared" si="4"/>
        <v>0</v>
      </c>
      <c r="Q17" s="59">
        <f t="shared" si="4"/>
        <v>0</v>
      </c>
      <c r="R17" s="59">
        <f t="shared" si="4"/>
        <v>0</v>
      </c>
      <c r="S17" s="59">
        <f t="shared" si="4"/>
        <v>0</v>
      </c>
      <c r="T17" s="59">
        <f t="shared" si="4"/>
        <v>0</v>
      </c>
      <c r="U17" s="59">
        <f t="shared" si="4"/>
        <v>0</v>
      </c>
      <c r="V17" s="59">
        <f t="shared" si="4"/>
        <v>0</v>
      </c>
      <c r="W17" s="59">
        <f t="shared" si="4"/>
        <v>0</v>
      </c>
      <c r="X17" s="59">
        <f t="shared" si="4"/>
        <v>0</v>
      </c>
      <c r="Y17" s="59">
        <f t="shared" si="4"/>
        <v>0</v>
      </c>
      <c r="Z17" s="59">
        <f t="shared" si="4"/>
        <v>0</v>
      </c>
      <c r="AA17" s="59">
        <f t="shared" si="4"/>
        <v>0</v>
      </c>
      <c r="AB17" s="59">
        <f t="shared" si="4"/>
        <v>0</v>
      </c>
    </row>
    <row r="18" spans="3:28" ht="15.75">
      <c r="I18" s="15"/>
      <c r="J18" t="s">
        <v>25</v>
      </c>
      <c r="K18" t="s">
        <v>616</v>
      </c>
      <c r="L18" s="59">
        <f t="shared" si="3"/>
        <v>0</v>
      </c>
      <c r="M18" s="59">
        <f t="shared" si="4"/>
        <v>0</v>
      </c>
      <c r="N18" s="59">
        <f t="shared" si="4"/>
        <v>0</v>
      </c>
      <c r="O18" s="59">
        <f t="shared" si="4"/>
        <v>0</v>
      </c>
      <c r="P18" s="59">
        <f t="shared" si="4"/>
        <v>0</v>
      </c>
      <c r="Q18" s="59">
        <f t="shared" si="4"/>
        <v>0</v>
      </c>
      <c r="R18" s="59">
        <f t="shared" si="4"/>
        <v>0</v>
      </c>
      <c r="S18" s="59">
        <f t="shared" si="4"/>
        <v>0</v>
      </c>
      <c r="T18" s="59">
        <f t="shared" si="4"/>
        <v>0</v>
      </c>
      <c r="U18" s="59">
        <f t="shared" si="4"/>
        <v>0</v>
      </c>
      <c r="V18" s="59">
        <f t="shared" si="4"/>
        <v>0</v>
      </c>
      <c r="W18" s="59">
        <f t="shared" si="4"/>
        <v>0</v>
      </c>
      <c r="X18" s="59">
        <f t="shared" si="4"/>
        <v>0</v>
      </c>
      <c r="Y18" s="59">
        <f t="shared" si="4"/>
        <v>0</v>
      </c>
      <c r="Z18" s="59">
        <f t="shared" si="4"/>
        <v>0</v>
      </c>
      <c r="AA18" s="59">
        <f t="shared" si="4"/>
        <v>0</v>
      </c>
      <c r="AB18" s="59">
        <f t="shared" si="4"/>
        <v>0</v>
      </c>
    </row>
    <row r="19" spans="3:28" ht="16.5" thickBot="1">
      <c r="I19" s="15"/>
      <c r="J19" s="63" t="s">
        <v>42</v>
      </c>
      <c r="K19" s="63" t="s">
        <v>626</v>
      </c>
      <c r="L19" s="66">
        <f>L15+L16*L4</f>
        <v>0.101244</v>
      </c>
      <c r="M19" s="66">
        <f t="shared" ref="M19:AB19" si="5">M15+M16*M4</f>
        <v>0.101244</v>
      </c>
      <c r="N19" s="66">
        <f t="shared" si="5"/>
        <v>0.101244</v>
      </c>
      <c r="O19" s="66">
        <f t="shared" si="5"/>
        <v>9.8277000000000003E-2</v>
      </c>
      <c r="P19" s="66">
        <f t="shared" si="5"/>
        <v>9.5310000000000006E-2</v>
      </c>
      <c r="Q19" s="66">
        <f t="shared" si="5"/>
        <v>8.1441E-2</v>
      </c>
      <c r="R19" s="66">
        <f t="shared" si="5"/>
        <v>6.7571999999999993E-2</v>
      </c>
      <c r="S19" s="66">
        <f t="shared" si="5"/>
        <v>6.6675000000000012E-2</v>
      </c>
      <c r="T19" s="66">
        <f t="shared" si="5"/>
        <v>6.5778000000000003E-2</v>
      </c>
      <c r="U19" s="66">
        <f t="shared" si="5"/>
        <v>6.4880999999999994E-2</v>
      </c>
      <c r="V19" s="66">
        <f t="shared" si="5"/>
        <v>6.3984000000000013E-2</v>
      </c>
      <c r="W19" s="66">
        <f t="shared" si="5"/>
        <v>6.3984000000000013E-2</v>
      </c>
      <c r="X19" s="66">
        <f t="shared" si="5"/>
        <v>6.3984000000000013E-2</v>
      </c>
      <c r="Y19" s="66">
        <f t="shared" si="5"/>
        <v>6.3984000000000013E-2</v>
      </c>
      <c r="Z19" s="66">
        <f t="shared" si="5"/>
        <v>6.3984000000000013E-2</v>
      </c>
      <c r="AA19" s="66">
        <f t="shared" si="5"/>
        <v>6.3984000000000013E-2</v>
      </c>
      <c r="AB19" s="66">
        <f t="shared" si="5"/>
        <v>6.3984000000000013E-2</v>
      </c>
    </row>
    <row r="20" spans="3:28" ht="15.75" thickTop="1">
      <c r="E20" s="5"/>
      <c r="G20" s="5"/>
      <c r="H20" s="5"/>
      <c r="I20" s="15"/>
      <c r="L20">
        <f>L19*100</f>
        <v>10.1244</v>
      </c>
    </row>
    <row r="27" spans="3:28" ht="17.25" thickBot="1">
      <c r="C27" t="s">
        <v>610</v>
      </c>
      <c r="K27" t="s">
        <v>617</v>
      </c>
      <c r="L27" s="72" t="s">
        <v>618</v>
      </c>
      <c r="M27" s="72"/>
      <c r="N27" s="72"/>
      <c r="O27" s="72"/>
      <c r="P27" s="72"/>
      <c r="Q27" s="72"/>
      <c r="R27" s="72"/>
      <c r="S27" s="72"/>
      <c r="T27" s="72"/>
      <c r="U27" s="72"/>
      <c r="V27" s="72"/>
      <c r="W27" s="72"/>
      <c r="X27" s="72"/>
      <c r="Y27" s="72"/>
      <c r="Z27" s="72"/>
      <c r="AA27" s="72"/>
      <c r="AB27" s="72"/>
    </row>
    <row r="28" spans="3:28" ht="15.75" thickTop="1">
      <c r="C28">
        <v>300</v>
      </c>
      <c r="D28" t="s">
        <v>611</v>
      </c>
      <c r="K28">
        <v>10</v>
      </c>
      <c r="L28">
        <f>$K28*L$19</f>
        <v>1.01244</v>
      </c>
      <c r="M28">
        <f t="shared" ref="M28:AB43" si="6">$K28*M$19</f>
        <v>1.01244</v>
      </c>
      <c r="N28">
        <f t="shared" si="6"/>
        <v>1.01244</v>
      </c>
      <c r="O28">
        <f t="shared" si="6"/>
        <v>0.98277000000000003</v>
      </c>
      <c r="P28">
        <f t="shared" si="6"/>
        <v>0.95310000000000006</v>
      </c>
      <c r="Q28">
        <f t="shared" si="6"/>
        <v>0.81440999999999997</v>
      </c>
      <c r="R28">
        <f t="shared" si="6"/>
        <v>0.67571999999999988</v>
      </c>
      <c r="S28">
        <f t="shared" si="6"/>
        <v>0.66675000000000018</v>
      </c>
      <c r="T28">
        <f t="shared" si="6"/>
        <v>0.65778000000000003</v>
      </c>
      <c r="U28">
        <f t="shared" si="6"/>
        <v>0.64880999999999989</v>
      </c>
      <c r="V28">
        <f t="shared" si="6"/>
        <v>0.63984000000000019</v>
      </c>
      <c r="W28">
        <f t="shared" si="6"/>
        <v>0.63984000000000019</v>
      </c>
      <c r="X28">
        <f t="shared" si="6"/>
        <v>0.63984000000000019</v>
      </c>
      <c r="Y28">
        <f t="shared" si="6"/>
        <v>0.63984000000000019</v>
      </c>
      <c r="Z28">
        <f t="shared" si="6"/>
        <v>0.63984000000000019</v>
      </c>
      <c r="AA28">
        <f t="shared" si="6"/>
        <v>0.63984000000000019</v>
      </c>
      <c r="AB28">
        <f t="shared" si="6"/>
        <v>0.63984000000000019</v>
      </c>
    </row>
    <row r="29" spans="3:28">
      <c r="K29">
        <v>20</v>
      </c>
      <c r="L29">
        <f t="shared" ref="L29:AA67" si="7">$K29*L$19</f>
        <v>2.02488</v>
      </c>
      <c r="M29">
        <f t="shared" si="7"/>
        <v>2.02488</v>
      </c>
      <c r="N29">
        <f t="shared" si="7"/>
        <v>2.02488</v>
      </c>
      <c r="O29">
        <f t="shared" si="7"/>
        <v>1.9655400000000001</v>
      </c>
      <c r="P29">
        <f t="shared" si="7"/>
        <v>1.9062000000000001</v>
      </c>
      <c r="Q29">
        <f t="shared" si="7"/>
        <v>1.6288199999999999</v>
      </c>
      <c r="R29">
        <f t="shared" si="7"/>
        <v>1.3514399999999998</v>
      </c>
      <c r="S29">
        <f t="shared" si="7"/>
        <v>1.3335000000000004</v>
      </c>
      <c r="T29">
        <f t="shared" si="7"/>
        <v>1.3155600000000001</v>
      </c>
      <c r="U29">
        <f t="shared" si="7"/>
        <v>1.2976199999999998</v>
      </c>
      <c r="V29">
        <f t="shared" si="7"/>
        <v>1.2796800000000004</v>
      </c>
      <c r="W29">
        <f t="shared" si="7"/>
        <v>1.2796800000000004</v>
      </c>
      <c r="X29">
        <f t="shared" si="7"/>
        <v>1.2796800000000004</v>
      </c>
      <c r="Y29">
        <f t="shared" si="7"/>
        <v>1.2796800000000004</v>
      </c>
      <c r="Z29">
        <f t="shared" si="7"/>
        <v>1.2796800000000004</v>
      </c>
      <c r="AA29">
        <f t="shared" si="7"/>
        <v>1.2796800000000004</v>
      </c>
      <c r="AB29">
        <f t="shared" si="6"/>
        <v>1.2796800000000004</v>
      </c>
    </row>
    <row r="30" spans="3:28">
      <c r="K30">
        <v>30</v>
      </c>
      <c r="L30">
        <f t="shared" si="7"/>
        <v>3.0373200000000002</v>
      </c>
      <c r="M30">
        <f t="shared" si="6"/>
        <v>3.0373200000000002</v>
      </c>
      <c r="N30">
        <f t="shared" si="6"/>
        <v>3.0373200000000002</v>
      </c>
      <c r="O30">
        <f t="shared" si="6"/>
        <v>2.9483100000000002</v>
      </c>
      <c r="P30">
        <f t="shared" si="6"/>
        <v>2.8593000000000002</v>
      </c>
      <c r="Q30">
        <f t="shared" si="6"/>
        <v>2.4432299999999998</v>
      </c>
      <c r="R30">
        <f t="shared" si="6"/>
        <v>2.0271599999999999</v>
      </c>
      <c r="S30">
        <f t="shared" si="6"/>
        <v>2.0002500000000003</v>
      </c>
      <c r="T30">
        <f t="shared" si="6"/>
        <v>1.9733400000000001</v>
      </c>
      <c r="U30">
        <f t="shared" si="6"/>
        <v>1.9464299999999999</v>
      </c>
      <c r="V30">
        <f t="shared" si="6"/>
        <v>1.9195200000000003</v>
      </c>
      <c r="W30">
        <f t="shared" si="6"/>
        <v>1.9195200000000003</v>
      </c>
      <c r="X30">
        <f t="shared" si="6"/>
        <v>1.9195200000000003</v>
      </c>
      <c r="Y30">
        <f t="shared" si="6"/>
        <v>1.9195200000000003</v>
      </c>
      <c r="Z30">
        <f t="shared" si="6"/>
        <v>1.9195200000000003</v>
      </c>
      <c r="AA30">
        <f t="shared" si="6"/>
        <v>1.9195200000000003</v>
      </c>
      <c r="AB30">
        <f t="shared" si="6"/>
        <v>1.9195200000000003</v>
      </c>
    </row>
    <row r="31" spans="3:28">
      <c r="K31">
        <v>40</v>
      </c>
      <c r="L31">
        <f t="shared" si="7"/>
        <v>4.04976</v>
      </c>
      <c r="M31">
        <f t="shared" si="6"/>
        <v>4.04976</v>
      </c>
      <c r="N31">
        <f t="shared" si="6"/>
        <v>4.04976</v>
      </c>
      <c r="O31">
        <f t="shared" si="6"/>
        <v>3.9310800000000001</v>
      </c>
      <c r="P31">
        <f t="shared" si="6"/>
        <v>3.8124000000000002</v>
      </c>
      <c r="Q31">
        <f t="shared" si="6"/>
        <v>3.2576399999999999</v>
      </c>
      <c r="R31">
        <f t="shared" si="6"/>
        <v>2.7028799999999995</v>
      </c>
      <c r="S31">
        <f t="shared" si="6"/>
        <v>2.6670000000000007</v>
      </c>
      <c r="T31">
        <f t="shared" si="6"/>
        <v>2.6311200000000001</v>
      </c>
      <c r="U31">
        <f t="shared" si="6"/>
        <v>2.5952399999999995</v>
      </c>
      <c r="V31">
        <f t="shared" si="6"/>
        <v>2.5593600000000007</v>
      </c>
      <c r="W31">
        <f t="shared" si="6"/>
        <v>2.5593600000000007</v>
      </c>
      <c r="X31">
        <f t="shared" si="6"/>
        <v>2.5593600000000007</v>
      </c>
      <c r="Y31">
        <f t="shared" si="6"/>
        <v>2.5593600000000007</v>
      </c>
      <c r="Z31">
        <f t="shared" si="6"/>
        <v>2.5593600000000007</v>
      </c>
      <c r="AA31">
        <f t="shared" si="6"/>
        <v>2.5593600000000007</v>
      </c>
      <c r="AB31">
        <f t="shared" si="6"/>
        <v>2.5593600000000007</v>
      </c>
    </row>
    <row r="32" spans="3:28">
      <c r="K32">
        <v>50</v>
      </c>
      <c r="L32">
        <f t="shared" si="7"/>
        <v>5.0621999999999998</v>
      </c>
      <c r="M32">
        <f t="shared" si="6"/>
        <v>5.0621999999999998</v>
      </c>
      <c r="N32">
        <f t="shared" si="6"/>
        <v>5.0621999999999998</v>
      </c>
      <c r="O32">
        <f t="shared" si="6"/>
        <v>4.9138500000000001</v>
      </c>
      <c r="P32">
        <f t="shared" si="6"/>
        <v>4.7655000000000003</v>
      </c>
      <c r="Q32">
        <f t="shared" si="6"/>
        <v>4.0720499999999999</v>
      </c>
      <c r="R32">
        <f t="shared" si="6"/>
        <v>3.3785999999999996</v>
      </c>
      <c r="S32">
        <f t="shared" si="6"/>
        <v>3.3337500000000007</v>
      </c>
      <c r="T32">
        <f t="shared" si="6"/>
        <v>3.2888999999999999</v>
      </c>
      <c r="U32">
        <f t="shared" si="6"/>
        <v>3.2440499999999997</v>
      </c>
      <c r="V32">
        <f t="shared" si="6"/>
        <v>3.1992000000000007</v>
      </c>
      <c r="W32">
        <f t="shared" si="6"/>
        <v>3.1992000000000007</v>
      </c>
      <c r="X32">
        <f t="shared" si="6"/>
        <v>3.1992000000000007</v>
      </c>
      <c r="Y32">
        <f t="shared" si="6"/>
        <v>3.1992000000000007</v>
      </c>
      <c r="Z32">
        <f t="shared" si="6"/>
        <v>3.1992000000000007</v>
      </c>
      <c r="AA32">
        <f t="shared" si="6"/>
        <v>3.1992000000000007</v>
      </c>
      <c r="AB32">
        <f t="shared" si="6"/>
        <v>3.1992000000000007</v>
      </c>
    </row>
    <row r="33" spans="11:28">
      <c r="K33">
        <v>60</v>
      </c>
      <c r="L33">
        <f t="shared" si="7"/>
        <v>6.0746400000000005</v>
      </c>
      <c r="M33">
        <f t="shared" si="6"/>
        <v>6.0746400000000005</v>
      </c>
      <c r="N33">
        <f t="shared" si="6"/>
        <v>6.0746400000000005</v>
      </c>
      <c r="O33">
        <f t="shared" si="6"/>
        <v>5.8966200000000004</v>
      </c>
      <c r="P33">
        <f t="shared" si="6"/>
        <v>5.7186000000000003</v>
      </c>
      <c r="Q33">
        <f t="shared" si="6"/>
        <v>4.8864599999999996</v>
      </c>
      <c r="R33">
        <f t="shared" si="6"/>
        <v>4.0543199999999997</v>
      </c>
      <c r="S33">
        <f t="shared" si="6"/>
        <v>4.0005000000000006</v>
      </c>
      <c r="T33">
        <f t="shared" si="6"/>
        <v>3.9466800000000002</v>
      </c>
      <c r="U33">
        <f t="shared" si="6"/>
        <v>3.8928599999999998</v>
      </c>
      <c r="V33">
        <f t="shared" si="6"/>
        <v>3.8390400000000007</v>
      </c>
      <c r="W33">
        <f t="shared" si="6"/>
        <v>3.8390400000000007</v>
      </c>
      <c r="X33">
        <f t="shared" si="6"/>
        <v>3.8390400000000007</v>
      </c>
      <c r="Y33">
        <f t="shared" si="6"/>
        <v>3.8390400000000007</v>
      </c>
      <c r="Z33">
        <f t="shared" si="6"/>
        <v>3.8390400000000007</v>
      </c>
      <c r="AA33">
        <f t="shared" si="6"/>
        <v>3.8390400000000007</v>
      </c>
      <c r="AB33">
        <f t="shared" si="6"/>
        <v>3.8390400000000007</v>
      </c>
    </row>
    <row r="34" spans="11:28">
      <c r="K34">
        <v>70</v>
      </c>
      <c r="L34">
        <f t="shared" si="7"/>
        <v>7.0870800000000003</v>
      </c>
      <c r="M34">
        <f t="shared" si="6"/>
        <v>7.0870800000000003</v>
      </c>
      <c r="N34">
        <f t="shared" si="6"/>
        <v>7.0870800000000003</v>
      </c>
      <c r="O34">
        <f t="shared" si="6"/>
        <v>6.8793899999999999</v>
      </c>
      <c r="P34">
        <f t="shared" si="6"/>
        <v>6.6717000000000004</v>
      </c>
      <c r="Q34">
        <f t="shared" si="6"/>
        <v>5.7008700000000001</v>
      </c>
      <c r="R34">
        <f t="shared" si="6"/>
        <v>4.7300399999999998</v>
      </c>
      <c r="S34">
        <f t="shared" si="6"/>
        <v>4.667250000000001</v>
      </c>
      <c r="T34">
        <f t="shared" si="6"/>
        <v>4.6044600000000004</v>
      </c>
      <c r="U34">
        <f t="shared" si="6"/>
        <v>4.5416699999999999</v>
      </c>
      <c r="V34">
        <f t="shared" si="6"/>
        <v>4.4788800000000011</v>
      </c>
      <c r="W34">
        <f t="shared" si="6"/>
        <v>4.4788800000000011</v>
      </c>
      <c r="X34">
        <f t="shared" si="6"/>
        <v>4.4788800000000011</v>
      </c>
      <c r="Y34">
        <f t="shared" si="6"/>
        <v>4.4788800000000011</v>
      </c>
      <c r="Z34">
        <f t="shared" si="6"/>
        <v>4.4788800000000011</v>
      </c>
      <c r="AA34">
        <f t="shared" si="6"/>
        <v>4.4788800000000011</v>
      </c>
      <c r="AB34">
        <f t="shared" si="6"/>
        <v>4.4788800000000011</v>
      </c>
    </row>
    <row r="35" spans="11:28">
      <c r="K35">
        <v>80</v>
      </c>
      <c r="L35">
        <f t="shared" si="7"/>
        <v>8.0995200000000001</v>
      </c>
      <c r="M35">
        <f t="shared" si="6"/>
        <v>8.0995200000000001</v>
      </c>
      <c r="N35">
        <f t="shared" si="6"/>
        <v>8.0995200000000001</v>
      </c>
      <c r="O35">
        <f t="shared" si="6"/>
        <v>7.8621600000000003</v>
      </c>
      <c r="P35">
        <f t="shared" si="6"/>
        <v>7.6248000000000005</v>
      </c>
      <c r="Q35">
        <f t="shared" si="6"/>
        <v>6.5152799999999997</v>
      </c>
      <c r="R35">
        <f t="shared" si="6"/>
        <v>5.405759999999999</v>
      </c>
      <c r="S35">
        <f t="shared" si="6"/>
        <v>5.3340000000000014</v>
      </c>
      <c r="T35">
        <f t="shared" si="6"/>
        <v>5.2622400000000003</v>
      </c>
      <c r="U35">
        <f t="shared" si="6"/>
        <v>5.1904799999999991</v>
      </c>
      <c r="V35">
        <f t="shared" si="6"/>
        <v>5.1187200000000015</v>
      </c>
      <c r="W35">
        <f t="shared" si="6"/>
        <v>5.1187200000000015</v>
      </c>
      <c r="X35">
        <f t="shared" si="6"/>
        <v>5.1187200000000015</v>
      </c>
      <c r="Y35">
        <f t="shared" si="6"/>
        <v>5.1187200000000015</v>
      </c>
      <c r="Z35">
        <f t="shared" si="6"/>
        <v>5.1187200000000015</v>
      </c>
      <c r="AA35">
        <f t="shared" si="6"/>
        <v>5.1187200000000015</v>
      </c>
      <c r="AB35">
        <f t="shared" si="6"/>
        <v>5.1187200000000015</v>
      </c>
    </row>
    <row r="36" spans="11:28">
      <c r="K36">
        <v>90</v>
      </c>
      <c r="L36">
        <f t="shared" si="7"/>
        <v>9.1119599999999998</v>
      </c>
      <c r="M36">
        <f t="shared" si="6"/>
        <v>9.1119599999999998</v>
      </c>
      <c r="N36">
        <f t="shared" si="6"/>
        <v>9.1119599999999998</v>
      </c>
      <c r="O36">
        <f t="shared" si="6"/>
        <v>8.8449299999999997</v>
      </c>
      <c r="P36">
        <f t="shared" si="6"/>
        <v>8.5778999999999996</v>
      </c>
      <c r="Q36">
        <f t="shared" si="6"/>
        <v>7.3296900000000003</v>
      </c>
      <c r="R36">
        <f t="shared" si="6"/>
        <v>6.0814799999999991</v>
      </c>
      <c r="S36">
        <f t="shared" si="6"/>
        <v>6.0007500000000009</v>
      </c>
      <c r="T36">
        <f t="shared" si="6"/>
        <v>5.9200200000000001</v>
      </c>
      <c r="U36">
        <f t="shared" si="6"/>
        <v>5.8392899999999992</v>
      </c>
      <c r="V36">
        <f t="shared" si="6"/>
        <v>5.758560000000001</v>
      </c>
      <c r="W36">
        <f t="shared" si="6"/>
        <v>5.758560000000001</v>
      </c>
      <c r="X36">
        <f t="shared" si="6"/>
        <v>5.758560000000001</v>
      </c>
      <c r="Y36">
        <f t="shared" si="6"/>
        <v>5.758560000000001</v>
      </c>
      <c r="Z36">
        <f t="shared" si="6"/>
        <v>5.758560000000001</v>
      </c>
      <c r="AA36">
        <f t="shared" si="6"/>
        <v>5.758560000000001</v>
      </c>
      <c r="AB36">
        <f t="shared" si="6"/>
        <v>5.758560000000001</v>
      </c>
    </row>
    <row r="37" spans="11:28">
      <c r="K37">
        <v>100</v>
      </c>
      <c r="L37">
        <f t="shared" si="7"/>
        <v>10.1244</v>
      </c>
      <c r="M37">
        <f t="shared" si="6"/>
        <v>10.1244</v>
      </c>
      <c r="N37">
        <f t="shared" si="6"/>
        <v>10.1244</v>
      </c>
      <c r="O37">
        <f t="shared" si="6"/>
        <v>9.8277000000000001</v>
      </c>
      <c r="P37">
        <f t="shared" si="6"/>
        <v>9.5310000000000006</v>
      </c>
      <c r="Q37">
        <f t="shared" si="6"/>
        <v>8.1440999999999999</v>
      </c>
      <c r="R37">
        <f t="shared" si="6"/>
        <v>6.7571999999999992</v>
      </c>
      <c r="S37">
        <f t="shared" si="6"/>
        <v>6.6675000000000013</v>
      </c>
      <c r="T37">
        <f t="shared" si="6"/>
        <v>6.5777999999999999</v>
      </c>
      <c r="U37">
        <f t="shared" si="6"/>
        <v>6.4880999999999993</v>
      </c>
      <c r="V37">
        <f t="shared" si="6"/>
        <v>6.3984000000000014</v>
      </c>
      <c r="W37">
        <f t="shared" si="6"/>
        <v>6.3984000000000014</v>
      </c>
      <c r="X37">
        <f t="shared" si="6"/>
        <v>6.3984000000000014</v>
      </c>
      <c r="Y37">
        <f t="shared" si="6"/>
        <v>6.3984000000000014</v>
      </c>
      <c r="Z37">
        <f t="shared" si="6"/>
        <v>6.3984000000000014</v>
      </c>
      <c r="AA37">
        <f t="shared" si="6"/>
        <v>6.3984000000000014</v>
      </c>
      <c r="AB37">
        <f t="shared" si="6"/>
        <v>6.3984000000000014</v>
      </c>
    </row>
    <row r="38" spans="11:28">
      <c r="K38">
        <v>110</v>
      </c>
      <c r="L38">
        <f t="shared" si="7"/>
        <v>11.136839999999999</v>
      </c>
      <c r="M38">
        <f t="shared" si="6"/>
        <v>11.136839999999999</v>
      </c>
      <c r="N38">
        <f t="shared" si="6"/>
        <v>11.136839999999999</v>
      </c>
      <c r="O38">
        <f t="shared" si="6"/>
        <v>10.81047</v>
      </c>
      <c r="P38">
        <f t="shared" si="6"/>
        <v>10.484100000000002</v>
      </c>
      <c r="Q38">
        <f t="shared" si="6"/>
        <v>8.9585100000000004</v>
      </c>
      <c r="R38">
        <f t="shared" si="6"/>
        <v>7.4329199999999993</v>
      </c>
      <c r="S38">
        <f t="shared" si="6"/>
        <v>7.3342500000000017</v>
      </c>
      <c r="T38">
        <f t="shared" si="6"/>
        <v>7.2355800000000006</v>
      </c>
      <c r="U38">
        <f t="shared" si="6"/>
        <v>7.1369099999999994</v>
      </c>
      <c r="V38">
        <f t="shared" si="6"/>
        <v>7.0382400000000018</v>
      </c>
      <c r="W38">
        <f t="shared" si="6"/>
        <v>7.0382400000000018</v>
      </c>
      <c r="X38">
        <f t="shared" si="6"/>
        <v>7.0382400000000018</v>
      </c>
      <c r="Y38">
        <f t="shared" si="6"/>
        <v>7.0382400000000018</v>
      </c>
      <c r="Z38">
        <f t="shared" si="6"/>
        <v>7.0382400000000018</v>
      </c>
      <c r="AA38">
        <f t="shared" si="6"/>
        <v>7.0382400000000018</v>
      </c>
      <c r="AB38">
        <f t="shared" si="6"/>
        <v>7.0382400000000018</v>
      </c>
    </row>
    <row r="39" spans="11:28">
      <c r="K39">
        <v>120</v>
      </c>
      <c r="L39">
        <f t="shared" si="7"/>
        <v>12.149280000000001</v>
      </c>
      <c r="M39">
        <f t="shared" si="6"/>
        <v>12.149280000000001</v>
      </c>
      <c r="N39">
        <f t="shared" si="6"/>
        <v>12.149280000000001</v>
      </c>
      <c r="O39">
        <f t="shared" si="6"/>
        <v>11.793240000000001</v>
      </c>
      <c r="P39">
        <f t="shared" si="6"/>
        <v>11.437200000000001</v>
      </c>
      <c r="Q39">
        <f t="shared" si="6"/>
        <v>9.7729199999999992</v>
      </c>
      <c r="R39">
        <f t="shared" si="6"/>
        <v>8.1086399999999994</v>
      </c>
      <c r="S39">
        <f t="shared" si="6"/>
        <v>8.0010000000000012</v>
      </c>
      <c r="T39">
        <f t="shared" si="6"/>
        <v>7.8933600000000004</v>
      </c>
      <c r="U39">
        <f t="shared" si="6"/>
        <v>7.7857199999999995</v>
      </c>
      <c r="V39">
        <f t="shared" si="6"/>
        <v>7.6780800000000013</v>
      </c>
      <c r="W39">
        <f t="shared" si="6"/>
        <v>7.6780800000000013</v>
      </c>
      <c r="X39">
        <f t="shared" si="6"/>
        <v>7.6780800000000013</v>
      </c>
      <c r="Y39">
        <f t="shared" si="6"/>
        <v>7.6780800000000013</v>
      </c>
      <c r="Z39">
        <f t="shared" si="6"/>
        <v>7.6780800000000013</v>
      </c>
      <c r="AA39">
        <f t="shared" si="6"/>
        <v>7.6780800000000013</v>
      </c>
      <c r="AB39">
        <f t="shared" si="6"/>
        <v>7.6780800000000013</v>
      </c>
    </row>
    <row r="40" spans="11:28">
      <c r="K40">
        <v>130</v>
      </c>
      <c r="L40">
        <f t="shared" si="7"/>
        <v>13.161720000000001</v>
      </c>
      <c r="M40">
        <f t="shared" si="6"/>
        <v>13.161720000000001</v>
      </c>
      <c r="N40">
        <f t="shared" si="6"/>
        <v>13.161720000000001</v>
      </c>
      <c r="O40">
        <f t="shared" si="6"/>
        <v>12.776010000000001</v>
      </c>
      <c r="P40">
        <f t="shared" si="6"/>
        <v>12.3903</v>
      </c>
      <c r="Q40">
        <f t="shared" si="6"/>
        <v>10.58733</v>
      </c>
      <c r="R40">
        <f t="shared" si="6"/>
        <v>8.7843599999999995</v>
      </c>
      <c r="S40">
        <f t="shared" si="6"/>
        <v>8.6677500000000016</v>
      </c>
      <c r="T40">
        <f t="shared" si="6"/>
        <v>8.5511400000000002</v>
      </c>
      <c r="U40">
        <f t="shared" si="6"/>
        <v>8.4345299999999988</v>
      </c>
      <c r="V40">
        <f t="shared" si="6"/>
        <v>8.3179200000000009</v>
      </c>
      <c r="W40">
        <f t="shared" si="6"/>
        <v>8.3179200000000009</v>
      </c>
      <c r="X40">
        <f t="shared" si="6"/>
        <v>8.3179200000000009</v>
      </c>
      <c r="Y40">
        <f t="shared" si="6"/>
        <v>8.3179200000000009</v>
      </c>
      <c r="Z40">
        <f t="shared" si="6"/>
        <v>8.3179200000000009</v>
      </c>
      <c r="AA40">
        <f t="shared" si="6"/>
        <v>8.3179200000000009</v>
      </c>
      <c r="AB40">
        <f t="shared" si="6"/>
        <v>8.3179200000000009</v>
      </c>
    </row>
    <row r="41" spans="11:28">
      <c r="K41">
        <v>140</v>
      </c>
      <c r="L41">
        <f t="shared" si="7"/>
        <v>14.174160000000001</v>
      </c>
      <c r="M41">
        <f t="shared" si="6"/>
        <v>14.174160000000001</v>
      </c>
      <c r="N41">
        <f t="shared" si="6"/>
        <v>14.174160000000001</v>
      </c>
      <c r="O41">
        <f t="shared" si="6"/>
        <v>13.75878</v>
      </c>
      <c r="P41">
        <f t="shared" si="6"/>
        <v>13.343400000000001</v>
      </c>
      <c r="Q41">
        <f t="shared" si="6"/>
        <v>11.40174</v>
      </c>
      <c r="R41">
        <f t="shared" si="6"/>
        <v>9.4600799999999996</v>
      </c>
      <c r="S41">
        <f t="shared" si="6"/>
        <v>9.334500000000002</v>
      </c>
      <c r="T41">
        <f t="shared" si="6"/>
        <v>9.2089200000000009</v>
      </c>
      <c r="U41">
        <f t="shared" si="6"/>
        <v>9.0833399999999997</v>
      </c>
      <c r="V41">
        <f t="shared" si="6"/>
        <v>8.9577600000000022</v>
      </c>
      <c r="W41">
        <f t="shared" si="6"/>
        <v>8.9577600000000022</v>
      </c>
      <c r="X41">
        <f t="shared" si="6"/>
        <v>8.9577600000000022</v>
      </c>
      <c r="Y41">
        <f t="shared" si="6"/>
        <v>8.9577600000000022</v>
      </c>
      <c r="Z41">
        <f t="shared" si="6"/>
        <v>8.9577600000000022</v>
      </c>
      <c r="AA41">
        <f t="shared" si="6"/>
        <v>8.9577600000000022</v>
      </c>
      <c r="AB41">
        <f t="shared" si="6"/>
        <v>8.9577600000000022</v>
      </c>
    </row>
    <row r="42" spans="11:28">
      <c r="K42">
        <v>150</v>
      </c>
      <c r="L42">
        <f t="shared" si="7"/>
        <v>15.1866</v>
      </c>
      <c r="M42">
        <f t="shared" si="6"/>
        <v>15.1866</v>
      </c>
      <c r="N42">
        <f t="shared" si="6"/>
        <v>15.1866</v>
      </c>
      <c r="O42">
        <f t="shared" si="6"/>
        <v>14.74155</v>
      </c>
      <c r="P42">
        <f t="shared" si="6"/>
        <v>14.296500000000002</v>
      </c>
      <c r="Q42">
        <f t="shared" si="6"/>
        <v>12.216150000000001</v>
      </c>
      <c r="R42">
        <f t="shared" si="6"/>
        <v>10.1358</v>
      </c>
      <c r="S42">
        <f t="shared" si="6"/>
        <v>10.001250000000002</v>
      </c>
      <c r="T42">
        <f t="shared" si="6"/>
        <v>9.8666999999999998</v>
      </c>
      <c r="U42">
        <f t="shared" si="6"/>
        <v>9.732149999999999</v>
      </c>
      <c r="V42">
        <f t="shared" si="6"/>
        <v>9.5976000000000017</v>
      </c>
      <c r="W42">
        <f t="shared" si="6"/>
        <v>9.5976000000000017</v>
      </c>
      <c r="X42">
        <f t="shared" si="6"/>
        <v>9.5976000000000017</v>
      </c>
      <c r="Y42">
        <f t="shared" si="6"/>
        <v>9.5976000000000017</v>
      </c>
      <c r="Z42">
        <f t="shared" si="6"/>
        <v>9.5976000000000017</v>
      </c>
      <c r="AA42">
        <f t="shared" si="6"/>
        <v>9.5976000000000017</v>
      </c>
      <c r="AB42">
        <f t="shared" si="6"/>
        <v>9.5976000000000017</v>
      </c>
    </row>
    <row r="43" spans="11:28">
      <c r="K43">
        <v>160</v>
      </c>
      <c r="L43">
        <f t="shared" si="7"/>
        <v>16.19904</v>
      </c>
      <c r="M43">
        <f t="shared" si="6"/>
        <v>16.19904</v>
      </c>
      <c r="N43">
        <f t="shared" si="6"/>
        <v>16.19904</v>
      </c>
      <c r="O43">
        <f t="shared" si="6"/>
        <v>15.724320000000001</v>
      </c>
      <c r="P43">
        <f t="shared" si="6"/>
        <v>15.249600000000001</v>
      </c>
      <c r="Q43">
        <f t="shared" si="6"/>
        <v>13.030559999999999</v>
      </c>
      <c r="R43">
        <f t="shared" si="6"/>
        <v>10.811519999999998</v>
      </c>
      <c r="S43">
        <f t="shared" si="6"/>
        <v>10.668000000000003</v>
      </c>
      <c r="T43">
        <f t="shared" si="6"/>
        <v>10.524480000000001</v>
      </c>
      <c r="U43">
        <f t="shared" si="6"/>
        <v>10.380959999999998</v>
      </c>
      <c r="V43">
        <f t="shared" si="6"/>
        <v>10.237440000000003</v>
      </c>
      <c r="W43">
        <f t="shared" si="6"/>
        <v>10.237440000000003</v>
      </c>
      <c r="X43">
        <f t="shared" si="6"/>
        <v>10.237440000000003</v>
      </c>
      <c r="Y43">
        <f t="shared" si="6"/>
        <v>10.237440000000003</v>
      </c>
      <c r="Z43">
        <f t="shared" si="6"/>
        <v>10.237440000000003</v>
      </c>
      <c r="AA43">
        <f t="shared" si="6"/>
        <v>10.237440000000003</v>
      </c>
      <c r="AB43">
        <f t="shared" si="6"/>
        <v>10.237440000000003</v>
      </c>
    </row>
    <row r="44" spans="11:28">
      <c r="K44">
        <v>170</v>
      </c>
      <c r="L44">
        <f t="shared" si="7"/>
        <v>17.211480000000002</v>
      </c>
      <c r="M44">
        <f t="shared" ref="M44:AB59" si="8">$K44*M$19</f>
        <v>17.211480000000002</v>
      </c>
      <c r="N44">
        <f t="shared" si="8"/>
        <v>17.211480000000002</v>
      </c>
      <c r="O44">
        <f t="shared" si="8"/>
        <v>16.707090000000001</v>
      </c>
      <c r="P44">
        <f t="shared" si="8"/>
        <v>16.2027</v>
      </c>
      <c r="Q44">
        <f t="shared" si="8"/>
        <v>13.84497</v>
      </c>
      <c r="R44">
        <f t="shared" si="8"/>
        <v>11.487239999999998</v>
      </c>
      <c r="S44">
        <f t="shared" si="8"/>
        <v>11.334750000000001</v>
      </c>
      <c r="T44">
        <f t="shared" si="8"/>
        <v>11.182260000000001</v>
      </c>
      <c r="U44">
        <f t="shared" si="8"/>
        <v>11.029769999999999</v>
      </c>
      <c r="V44">
        <f t="shared" si="8"/>
        <v>10.877280000000003</v>
      </c>
      <c r="W44">
        <f t="shared" si="8"/>
        <v>10.877280000000003</v>
      </c>
      <c r="X44">
        <f t="shared" si="8"/>
        <v>10.877280000000003</v>
      </c>
      <c r="Y44">
        <f t="shared" si="8"/>
        <v>10.877280000000003</v>
      </c>
      <c r="Z44">
        <f t="shared" si="8"/>
        <v>10.877280000000003</v>
      </c>
      <c r="AA44">
        <f t="shared" si="8"/>
        <v>10.877280000000003</v>
      </c>
      <c r="AB44">
        <f t="shared" si="8"/>
        <v>10.877280000000003</v>
      </c>
    </row>
    <row r="45" spans="11:28">
      <c r="K45">
        <v>180</v>
      </c>
      <c r="L45">
        <f t="shared" si="7"/>
        <v>18.22392</v>
      </c>
      <c r="M45">
        <f t="shared" si="8"/>
        <v>18.22392</v>
      </c>
      <c r="N45">
        <f t="shared" si="8"/>
        <v>18.22392</v>
      </c>
      <c r="O45">
        <f t="shared" si="8"/>
        <v>17.689859999999999</v>
      </c>
      <c r="P45">
        <f t="shared" si="8"/>
        <v>17.155799999999999</v>
      </c>
      <c r="Q45">
        <f t="shared" si="8"/>
        <v>14.659380000000001</v>
      </c>
      <c r="R45">
        <f t="shared" si="8"/>
        <v>12.162959999999998</v>
      </c>
      <c r="S45">
        <f t="shared" si="8"/>
        <v>12.001500000000002</v>
      </c>
      <c r="T45">
        <f t="shared" si="8"/>
        <v>11.84004</v>
      </c>
      <c r="U45">
        <f t="shared" si="8"/>
        <v>11.678579999999998</v>
      </c>
      <c r="V45">
        <f t="shared" si="8"/>
        <v>11.517120000000002</v>
      </c>
      <c r="W45">
        <f t="shared" si="8"/>
        <v>11.517120000000002</v>
      </c>
      <c r="X45">
        <f t="shared" si="8"/>
        <v>11.517120000000002</v>
      </c>
      <c r="Y45">
        <f t="shared" si="8"/>
        <v>11.517120000000002</v>
      </c>
      <c r="Z45">
        <f t="shared" si="8"/>
        <v>11.517120000000002</v>
      </c>
      <c r="AA45">
        <f t="shared" si="8"/>
        <v>11.517120000000002</v>
      </c>
      <c r="AB45">
        <f t="shared" si="8"/>
        <v>11.517120000000002</v>
      </c>
    </row>
    <row r="46" spans="11:28">
      <c r="K46">
        <v>190</v>
      </c>
      <c r="L46">
        <f t="shared" si="7"/>
        <v>19.236360000000001</v>
      </c>
      <c r="M46">
        <f t="shared" si="8"/>
        <v>19.236360000000001</v>
      </c>
      <c r="N46">
        <f t="shared" si="8"/>
        <v>19.236360000000001</v>
      </c>
      <c r="O46">
        <f t="shared" si="8"/>
        <v>18.672630000000002</v>
      </c>
      <c r="P46">
        <f t="shared" si="8"/>
        <v>18.108900000000002</v>
      </c>
      <c r="Q46">
        <f t="shared" si="8"/>
        <v>15.473789999999999</v>
      </c>
      <c r="R46">
        <f t="shared" si="8"/>
        <v>12.838679999999998</v>
      </c>
      <c r="S46">
        <f t="shared" si="8"/>
        <v>12.668250000000002</v>
      </c>
      <c r="T46">
        <f t="shared" si="8"/>
        <v>12.497820000000001</v>
      </c>
      <c r="U46">
        <f t="shared" si="8"/>
        <v>12.327389999999999</v>
      </c>
      <c r="V46">
        <f t="shared" si="8"/>
        <v>12.156960000000003</v>
      </c>
      <c r="W46">
        <f t="shared" si="8"/>
        <v>12.156960000000003</v>
      </c>
      <c r="X46">
        <f t="shared" si="8"/>
        <v>12.156960000000003</v>
      </c>
      <c r="Y46">
        <f t="shared" si="8"/>
        <v>12.156960000000003</v>
      </c>
      <c r="Z46">
        <f t="shared" si="8"/>
        <v>12.156960000000003</v>
      </c>
      <c r="AA46">
        <f t="shared" si="8"/>
        <v>12.156960000000003</v>
      </c>
      <c r="AB46">
        <f t="shared" si="8"/>
        <v>12.156960000000003</v>
      </c>
    </row>
    <row r="47" spans="11:28">
      <c r="K47" s="4">
        <v>200</v>
      </c>
      <c r="L47" s="4">
        <f t="shared" si="7"/>
        <v>20.248799999999999</v>
      </c>
      <c r="M47" s="4">
        <f t="shared" si="8"/>
        <v>20.248799999999999</v>
      </c>
      <c r="N47" s="4">
        <f t="shared" si="8"/>
        <v>20.248799999999999</v>
      </c>
      <c r="O47" s="4">
        <f t="shared" si="8"/>
        <v>19.6554</v>
      </c>
      <c r="P47" s="4">
        <f t="shared" si="8"/>
        <v>19.062000000000001</v>
      </c>
      <c r="Q47" s="4">
        <f t="shared" si="8"/>
        <v>16.2882</v>
      </c>
      <c r="R47" s="4">
        <f t="shared" si="8"/>
        <v>13.514399999999998</v>
      </c>
      <c r="S47" s="4">
        <f t="shared" si="8"/>
        <v>13.335000000000003</v>
      </c>
      <c r="T47" s="4">
        <f t="shared" si="8"/>
        <v>13.1556</v>
      </c>
      <c r="U47" s="4">
        <f t="shared" si="8"/>
        <v>12.976199999999999</v>
      </c>
      <c r="V47" s="4">
        <f t="shared" si="8"/>
        <v>12.796800000000003</v>
      </c>
      <c r="W47" s="4">
        <f t="shared" si="8"/>
        <v>12.796800000000003</v>
      </c>
      <c r="X47" s="4">
        <f t="shared" si="8"/>
        <v>12.796800000000003</v>
      </c>
      <c r="Y47" s="4">
        <f t="shared" si="8"/>
        <v>12.796800000000003</v>
      </c>
      <c r="Z47" s="4">
        <f t="shared" si="8"/>
        <v>12.796800000000003</v>
      </c>
      <c r="AA47" s="4">
        <f t="shared" si="8"/>
        <v>12.796800000000003</v>
      </c>
      <c r="AB47" s="4">
        <f t="shared" si="8"/>
        <v>12.796800000000003</v>
      </c>
    </row>
    <row r="48" spans="11:28">
      <c r="K48">
        <v>210</v>
      </c>
      <c r="L48">
        <f t="shared" si="7"/>
        <v>21.261240000000001</v>
      </c>
      <c r="M48">
        <f t="shared" si="8"/>
        <v>21.261240000000001</v>
      </c>
      <c r="N48">
        <f t="shared" si="8"/>
        <v>21.261240000000001</v>
      </c>
      <c r="O48">
        <f t="shared" si="8"/>
        <v>20.638170000000002</v>
      </c>
      <c r="P48">
        <f t="shared" si="8"/>
        <v>20.0151</v>
      </c>
      <c r="Q48">
        <f t="shared" si="8"/>
        <v>17.102609999999999</v>
      </c>
      <c r="R48">
        <f t="shared" si="8"/>
        <v>14.190119999999999</v>
      </c>
      <c r="S48">
        <f t="shared" si="8"/>
        <v>14.001750000000003</v>
      </c>
      <c r="T48">
        <f t="shared" si="8"/>
        <v>13.81338</v>
      </c>
      <c r="U48">
        <f t="shared" si="8"/>
        <v>13.62501</v>
      </c>
      <c r="V48">
        <f t="shared" si="8"/>
        <v>13.436640000000002</v>
      </c>
      <c r="W48">
        <f t="shared" si="8"/>
        <v>13.436640000000002</v>
      </c>
      <c r="X48">
        <f t="shared" si="8"/>
        <v>13.436640000000002</v>
      </c>
      <c r="Y48">
        <f t="shared" si="8"/>
        <v>13.436640000000002</v>
      </c>
      <c r="Z48">
        <f t="shared" si="8"/>
        <v>13.436640000000002</v>
      </c>
      <c r="AA48">
        <f t="shared" si="8"/>
        <v>13.436640000000002</v>
      </c>
      <c r="AB48">
        <f t="shared" si="8"/>
        <v>13.436640000000002</v>
      </c>
    </row>
    <row r="49" spans="11:28">
      <c r="K49">
        <v>220</v>
      </c>
      <c r="L49">
        <f t="shared" si="7"/>
        <v>22.273679999999999</v>
      </c>
      <c r="M49">
        <f t="shared" si="8"/>
        <v>22.273679999999999</v>
      </c>
      <c r="N49">
        <f t="shared" si="8"/>
        <v>22.273679999999999</v>
      </c>
      <c r="O49">
        <f t="shared" si="8"/>
        <v>21.620940000000001</v>
      </c>
      <c r="P49">
        <f t="shared" si="8"/>
        <v>20.968200000000003</v>
      </c>
      <c r="Q49">
        <f t="shared" si="8"/>
        <v>17.917020000000001</v>
      </c>
      <c r="R49">
        <f t="shared" si="8"/>
        <v>14.865839999999999</v>
      </c>
      <c r="S49">
        <f t="shared" si="8"/>
        <v>14.668500000000003</v>
      </c>
      <c r="T49">
        <f t="shared" si="8"/>
        <v>14.471160000000001</v>
      </c>
      <c r="U49">
        <f t="shared" si="8"/>
        <v>14.273819999999999</v>
      </c>
      <c r="V49">
        <f t="shared" si="8"/>
        <v>14.076480000000004</v>
      </c>
      <c r="W49">
        <f t="shared" si="8"/>
        <v>14.076480000000004</v>
      </c>
      <c r="X49">
        <f t="shared" si="8"/>
        <v>14.076480000000004</v>
      </c>
      <c r="Y49">
        <f t="shared" si="8"/>
        <v>14.076480000000004</v>
      </c>
      <c r="Z49">
        <f t="shared" si="8"/>
        <v>14.076480000000004</v>
      </c>
      <c r="AA49">
        <f t="shared" si="8"/>
        <v>14.076480000000004</v>
      </c>
      <c r="AB49">
        <f t="shared" si="8"/>
        <v>14.076480000000004</v>
      </c>
    </row>
    <row r="50" spans="11:28">
      <c r="K50">
        <v>230</v>
      </c>
      <c r="L50">
        <f t="shared" si="7"/>
        <v>23.28612</v>
      </c>
      <c r="M50">
        <f t="shared" si="8"/>
        <v>23.28612</v>
      </c>
      <c r="N50">
        <f t="shared" si="8"/>
        <v>23.28612</v>
      </c>
      <c r="O50">
        <f t="shared" si="8"/>
        <v>22.60371</v>
      </c>
      <c r="P50">
        <f t="shared" si="8"/>
        <v>21.921300000000002</v>
      </c>
      <c r="Q50">
        <f t="shared" si="8"/>
        <v>18.73143</v>
      </c>
      <c r="R50">
        <f t="shared" si="8"/>
        <v>15.541559999999999</v>
      </c>
      <c r="S50">
        <f t="shared" si="8"/>
        <v>15.335250000000002</v>
      </c>
      <c r="T50">
        <f t="shared" si="8"/>
        <v>15.12894</v>
      </c>
      <c r="U50">
        <f t="shared" si="8"/>
        <v>14.922629999999998</v>
      </c>
      <c r="V50">
        <f t="shared" si="8"/>
        <v>14.716320000000003</v>
      </c>
      <c r="W50">
        <f t="shared" si="8"/>
        <v>14.716320000000003</v>
      </c>
      <c r="X50">
        <f t="shared" si="8"/>
        <v>14.716320000000003</v>
      </c>
      <c r="Y50">
        <f t="shared" si="8"/>
        <v>14.716320000000003</v>
      </c>
      <c r="Z50">
        <f t="shared" si="8"/>
        <v>14.716320000000003</v>
      </c>
      <c r="AA50">
        <f t="shared" si="8"/>
        <v>14.716320000000003</v>
      </c>
      <c r="AB50">
        <f t="shared" si="8"/>
        <v>14.716320000000003</v>
      </c>
    </row>
    <row r="51" spans="11:28">
      <c r="K51">
        <v>240</v>
      </c>
      <c r="L51">
        <f t="shared" si="7"/>
        <v>24.298560000000002</v>
      </c>
      <c r="M51">
        <f t="shared" si="8"/>
        <v>24.298560000000002</v>
      </c>
      <c r="N51">
        <f t="shared" si="8"/>
        <v>24.298560000000002</v>
      </c>
      <c r="O51">
        <f t="shared" si="8"/>
        <v>23.586480000000002</v>
      </c>
      <c r="P51">
        <f t="shared" si="8"/>
        <v>22.874400000000001</v>
      </c>
      <c r="Q51">
        <f t="shared" si="8"/>
        <v>19.545839999999998</v>
      </c>
      <c r="R51">
        <f t="shared" si="8"/>
        <v>16.217279999999999</v>
      </c>
      <c r="S51">
        <f t="shared" si="8"/>
        <v>16.002000000000002</v>
      </c>
      <c r="T51">
        <f t="shared" si="8"/>
        <v>15.786720000000001</v>
      </c>
      <c r="U51">
        <f t="shared" si="8"/>
        <v>15.571439999999999</v>
      </c>
      <c r="V51">
        <f t="shared" si="8"/>
        <v>15.356160000000003</v>
      </c>
      <c r="W51">
        <f t="shared" si="8"/>
        <v>15.356160000000003</v>
      </c>
      <c r="X51">
        <f t="shared" si="8"/>
        <v>15.356160000000003</v>
      </c>
      <c r="Y51">
        <f t="shared" si="8"/>
        <v>15.356160000000003</v>
      </c>
      <c r="Z51">
        <f t="shared" si="8"/>
        <v>15.356160000000003</v>
      </c>
      <c r="AA51">
        <f t="shared" si="8"/>
        <v>15.356160000000003</v>
      </c>
      <c r="AB51">
        <f t="shared" si="8"/>
        <v>15.356160000000003</v>
      </c>
    </row>
    <row r="52" spans="11:28">
      <c r="K52">
        <v>250</v>
      </c>
      <c r="L52">
        <f t="shared" si="7"/>
        <v>25.311</v>
      </c>
      <c r="M52">
        <f t="shared" si="8"/>
        <v>25.311</v>
      </c>
      <c r="N52">
        <f t="shared" si="8"/>
        <v>25.311</v>
      </c>
      <c r="O52">
        <f t="shared" si="8"/>
        <v>24.56925</v>
      </c>
      <c r="P52">
        <f t="shared" si="8"/>
        <v>23.827500000000001</v>
      </c>
      <c r="Q52">
        <f t="shared" si="8"/>
        <v>20.360250000000001</v>
      </c>
      <c r="R52">
        <f t="shared" si="8"/>
        <v>16.892999999999997</v>
      </c>
      <c r="S52">
        <f t="shared" si="8"/>
        <v>16.668750000000003</v>
      </c>
      <c r="T52">
        <f t="shared" si="8"/>
        <v>16.444500000000001</v>
      </c>
      <c r="U52">
        <f t="shared" si="8"/>
        <v>16.22025</v>
      </c>
      <c r="V52">
        <f t="shared" si="8"/>
        <v>15.996000000000004</v>
      </c>
      <c r="W52">
        <f t="shared" si="8"/>
        <v>15.996000000000004</v>
      </c>
      <c r="X52">
        <f t="shared" si="8"/>
        <v>15.996000000000004</v>
      </c>
      <c r="Y52">
        <f t="shared" si="8"/>
        <v>15.996000000000004</v>
      </c>
      <c r="Z52">
        <f t="shared" si="8"/>
        <v>15.996000000000004</v>
      </c>
      <c r="AA52">
        <f t="shared" si="8"/>
        <v>15.996000000000004</v>
      </c>
      <c r="AB52">
        <f t="shared" si="8"/>
        <v>15.996000000000004</v>
      </c>
    </row>
    <row r="53" spans="11:28">
      <c r="K53">
        <v>260</v>
      </c>
      <c r="L53">
        <f t="shared" si="7"/>
        <v>26.323440000000002</v>
      </c>
      <c r="M53">
        <f t="shared" si="8"/>
        <v>26.323440000000002</v>
      </c>
      <c r="N53">
        <f t="shared" si="8"/>
        <v>26.323440000000002</v>
      </c>
      <c r="O53">
        <f t="shared" si="8"/>
        <v>25.552020000000002</v>
      </c>
      <c r="P53">
        <f t="shared" si="8"/>
        <v>24.7806</v>
      </c>
      <c r="Q53">
        <f t="shared" si="8"/>
        <v>21.174659999999999</v>
      </c>
      <c r="R53">
        <f t="shared" si="8"/>
        <v>17.568719999999999</v>
      </c>
      <c r="S53">
        <f t="shared" si="8"/>
        <v>17.335500000000003</v>
      </c>
      <c r="T53">
        <f t="shared" si="8"/>
        <v>17.10228</v>
      </c>
      <c r="U53">
        <f t="shared" si="8"/>
        <v>16.869059999999998</v>
      </c>
      <c r="V53">
        <f t="shared" si="8"/>
        <v>16.635840000000002</v>
      </c>
      <c r="W53">
        <f t="shared" si="8"/>
        <v>16.635840000000002</v>
      </c>
      <c r="X53">
        <f t="shared" si="8"/>
        <v>16.635840000000002</v>
      </c>
      <c r="Y53">
        <f t="shared" si="8"/>
        <v>16.635840000000002</v>
      </c>
      <c r="Z53">
        <f t="shared" si="8"/>
        <v>16.635840000000002</v>
      </c>
      <c r="AA53">
        <f t="shared" si="8"/>
        <v>16.635840000000002</v>
      </c>
      <c r="AB53">
        <f t="shared" si="8"/>
        <v>16.635840000000002</v>
      </c>
    </row>
    <row r="54" spans="11:28">
      <c r="K54">
        <v>270</v>
      </c>
      <c r="L54">
        <f t="shared" si="7"/>
        <v>27.33588</v>
      </c>
      <c r="M54">
        <f t="shared" si="8"/>
        <v>27.33588</v>
      </c>
      <c r="N54">
        <f t="shared" si="8"/>
        <v>27.33588</v>
      </c>
      <c r="O54">
        <f t="shared" si="8"/>
        <v>26.534790000000001</v>
      </c>
      <c r="P54">
        <f t="shared" si="8"/>
        <v>25.733700000000002</v>
      </c>
      <c r="Q54">
        <f t="shared" si="8"/>
        <v>21.989069999999998</v>
      </c>
      <c r="R54">
        <f t="shared" si="8"/>
        <v>18.244439999999997</v>
      </c>
      <c r="S54">
        <f t="shared" si="8"/>
        <v>18.002250000000004</v>
      </c>
      <c r="T54">
        <f t="shared" si="8"/>
        <v>17.760059999999999</v>
      </c>
      <c r="U54">
        <f t="shared" si="8"/>
        <v>17.517869999999998</v>
      </c>
      <c r="V54">
        <f t="shared" si="8"/>
        <v>17.275680000000005</v>
      </c>
      <c r="W54">
        <f t="shared" si="8"/>
        <v>17.275680000000005</v>
      </c>
      <c r="X54">
        <f t="shared" si="8"/>
        <v>17.275680000000005</v>
      </c>
      <c r="Y54">
        <f t="shared" si="8"/>
        <v>17.275680000000005</v>
      </c>
      <c r="Z54">
        <f t="shared" si="8"/>
        <v>17.275680000000005</v>
      </c>
      <c r="AA54">
        <f t="shared" si="8"/>
        <v>17.275680000000005</v>
      </c>
      <c r="AB54">
        <f t="shared" si="8"/>
        <v>17.275680000000005</v>
      </c>
    </row>
    <row r="55" spans="11:28">
      <c r="K55">
        <v>280</v>
      </c>
      <c r="L55">
        <f t="shared" si="7"/>
        <v>28.348320000000001</v>
      </c>
      <c r="M55">
        <f t="shared" si="8"/>
        <v>28.348320000000001</v>
      </c>
      <c r="N55">
        <f t="shared" si="8"/>
        <v>28.348320000000001</v>
      </c>
      <c r="O55">
        <f t="shared" si="8"/>
        <v>27.51756</v>
      </c>
      <c r="P55">
        <f t="shared" si="8"/>
        <v>26.686800000000002</v>
      </c>
      <c r="Q55">
        <f t="shared" si="8"/>
        <v>22.80348</v>
      </c>
      <c r="R55">
        <f t="shared" si="8"/>
        <v>18.920159999999999</v>
      </c>
      <c r="S55">
        <f t="shared" si="8"/>
        <v>18.669000000000004</v>
      </c>
      <c r="T55">
        <f t="shared" si="8"/>
        <v>18.417840000000002</v>
      </c>
      <c r="U55">
        <f t="shared" si="8"/>
        <v>18.166679999999999</v>
      </c>
      <c r="V55">
        <f t="shared" si="8"/>
        <v>17.915520000000004</v>
      </c>
      <c r="W55">
        <f t="shared" si="8"/>
        <v>17.915520000000004</v>
      </c>
      <c r="X55">
        <f t="shared" si="8"/>
        <v>17.915520000000004</v>
      </c>
      <c r="Y55">
        <f t="shared" si="8"/>
        <v>17.915520000000004</v>
      </c>
      <c r="Z55">
        <f t="shared" si="8"/>
        <v>17.915520000000004</v>
      </c>
      <c r="AA55">
        <f t="shared" si="8"/>
        <v>17.915520000000004</v>
      </c>
      <c r="AB55">
        <f t="shared" si="8"/>
        <v>17.915520000000004</v>
      </c>
    </row>
    <row r="56" spans="11:28">
      <c r="K56">
        <v>290</v>
      </c>
      <c r="L56">
        <f t="shared" si="7"/>
        <v>29.360759999999999</v>
      </c>
      <c r="M56">
        <f t="shared" si="8"/>
        <v>29.360759999999999</v>
      </c>
      <c r="N56">
        <f t="shared" si="8"/>
        <v>29.360759999999999</v>
      </c>
      <c r="O56">
        <f t="shared" si="8"/>
        <v>28.500330000000002</v>
      </c>
      <c r="P56">
        <f t="shared" si="8"/>
        <v>27.639900000000001</v>
      </c>
      <c r="Q56">
        <f t="shared" si="8"/>
        <v>23.617889999999999</v>
      </c>
      <c r="R56">
        <f t="shared" si="8"/>
        <v>19.595879999999998</v>
      </c>
      <c r="S56">
        <f t="shared" si="8"/>
        <v>19.335750000000004</v>
      </c>
      <c r="T56">
        <f t="shared" si="8"/>
        <v>19.075620000000001</v>
      </c>
      <c r="U56">
        <f t="shared" si="8"/>
        <v>18.815489999999997</v>
      </c>
      <c r="V56">
        <f t="shared" si="8"/>
        <v>18.555360000000004</v>
      </c>
      <c r="W56">
        <f t="shared" si="8"/>
        <v>18.555360000000004</v>
      </c>
      <c r="X56">
        <f t="shared" si="8"/>
        <v>18.555360000000004</v>
      </c>
      <c r="Y56">
        <f t="shared" si="8"/>
        <v>18.555360000000004</v>
      </c>
      <c r="Z56">
        <f t="shared" si="8"/>
        <v>18.555360000000004</v>
      </c>
      <c r="AA56">
        <f t="shared" si="8"/>
        <v>18.555360000000004</v>
      </c>
      <c r="AB56">
        <f t="shared" si="8"/>
        <v>18.555360000000004</v>
      </c>
    </row>
    <row r="57" spans="11:28">
      <c r="K57" s="71">
        <v>300</v>
      </c>
      <c r="L57" s="71">
        <f t="shared" si="7"/>
        <v>30.373200000000001</v>
      </c>
      <c r="M57" s="71">
        <f t="shared" si="8"/>
        <v>30.373200000000001</v>
      </c>
      <c r="N57" s="71">
        <f t="shared" si="8"/>
        <v>30.373200000000001</v>
      </c>
      <c r="O57" s="71">
        <f t="shared" si="8"/>
        <v>29.4831</v>
      </c>
      <c r="P57" s="71">
        <f t="shared" si="8"/>
        <v>28.593000000000004</v>
      </c>
      <c r="Q57" s="71">
        <f t="shared" si="8"/>
        <v>24.432300000000001</v>
      </c>
      <c r="R57" s="71">
        <f t="shared" si="8"/>
        <v>20.271599999999999</v>
      </c>
      <c r="S57" s="71">
        <f t="shared" si="8"/>
        <v>20.002500000000005</v>
      </c>
      <c r="T57" s="71">
        <f t="shared" si="8"/>
        <v>19.7334</v>
      </c>
      <c r="U57" s="71">
        <f t="shared" si="8"/>
        <v>19.464299999999998</v>
      </c>
      <c r="V57" s="71">
        <f t="shared" si="8"/>
        <v>19.195200000000003</v>
      </c>
      <c r="W57" s="71">
        <f t="shared" si="8"/>
        <v>19.195200000000003</v>
      </c>
      <c r="X57" s="71">
        <f t="shared" si="8"/>
        <v>19.195200000000003</v>
      </c>
      <c r="Y57" s="71">
        <f t="shared" si="8"/>
        <v>19.195200000000003</v>
      </c>
      <c r="Z57" s="71">
        <f t="shared" si="8"/>
        <v>19.195200000000003</v>
      </c>
      <c r="AA57" s="71">
        <f t="shared" si="8"/>
        <v>19.195200000000003</v>
      </c>
      <c r="AB57" s="71">
        <f t="shared" si="8"/>
        <v>19.195200000000003</v>
      </c>
    </row>
    <row r="58" spans="11:28">
      <c r="K58">
        <v>310</v>
      </c>
      <c r="L58">
        <f t="shared" si="7"/>
        <v>31.385639999999999</v>
      </c>
      <c r="M58">
        <f t="shared" si="8"/>
        <v>31.385639999999999</v>
      </c>
      <c r="N58">
        <f t="shared" si="8"/>
        <v>31.385639999999999</v>
      </c>
      <c r="O58">
        <f t="shared" si="8"/>
        <v>30.465870000000002</v>
      </c>
      <c r="P58">
        <f t="shared" si="8"/>
        <v>29.546100000000003</v>
      </c>
      <c r="Q58">
        <f t="shared" si="8"/>
        <v>25.24671</v>
      </c>
      <c r="R58">
        <f t="shared" si="8"/>
        <v>20.947319999999998</v>
      </c>
      <c r="S58">
        <f t="shared" si="8"/>
        <v>20.669250000000005</v>
      </c>
      <c r="T58">
        <f t="shared" si="8"/>
        <v>20.391180000000002</v>
      </c>
      <c r="U58">
        <f t="shared" si="8"/>
        <v>20.113109999999999</v>
      </c>
      <c r="V58">
        <f t="shared" si="8"/>
        <v>19.835040000000003</v>
      </c>
      <c r="W58">
        <f t="shared" si="8"/>
        <v>19.835040000000003</v>
      </c>
      <c r="X58">
        <f t="shared" si="8"/>
        <v>19.835040000000003</v>
      </c>
      <c r="Y58">
        <f t="shared" si="8"/>
        <v>19.835040000000003</v>
      </c>
      <c r="Z58">
        <f t="shared" si="8"/>
        <v>19.835040000000003</v>
      </c>
      <c r="AA58">
        <f t="shared" si="8"/>
        <v>19.835040000000003</v>
      </c>
      <c r="AB58">
        <f t="shared" si="8"/>
        <v>19.835040000000003</v>
      </c>
    </row>
    <row r="59" spans="11:28">
      <c r="K59">
        <v>320</v>
      </c>
      <c r="L59">
        <f t="shared" si="7"/>
        <v>32.39808</v>
      </c>
      <c r="M59">
        <f t="shared" si="8"/>
        <v>32.39808</v>
      </c>
      <c r="N59">
        <f t="shared" si="8"/>
        <v>32.39808</v>
      </c>
      <c r="O59">
        <f t="shared" si="8"/>
        <v>31.448640000000001</v>
      </c>
      <c r="P59">
        <f t="shared" si="8"/>
        <v>30.499200000000002</v>
      </c>
      <c r="Q59">
        <f t="shared" si="8"/>
        <v>26.061119999999999</v>
      </c>
      <c r="R59">
        <f t="shared" si="8"/>
        <v>21.623039999999996</v>
      </c>
      <c r="S59">
        <f t="shared" si="8"/>
        <v>21.336000000000006</v>
      </c>
      <c r="T59">
        <f t="shared" si="8"/>
        <v>21.048960000000001</v>
      </c>
      <c r="U59">
        <f t="shared" si="8"/>
        <v>20.761919999999996</v>
      </c>
      <c r="V59">
        <f t="shared" si="8"/>
        <v>20.474880000000006</v>
      </c>
      <c r="W59">
        <f t="shared" si="8"/>
        <v>20.474880000000006</v>
      </c>
      <c r="X59">
        <f t="shared" si="8"/>
        <v>20.474880000000006</v>
      </c>
      <c r="Y59">
        <f t="shared" si="8"/>
        <v>20.474880000000006</v>
      </c>
      <c r="Z59">
        <f t="shared" si="8"/>
        <v>20.474880000000006</v>
      </c>
      <c r="AA59">
        <f t="shared" si="8"/>
        <v>20.474880000000006</v>
      </c>
      <c r="AB59">
        <f t="shared" ref="M59:AB67" si="9">$K59*AB$19</f>
        <v>20.474880000000006</v>
      </c>
    </row>
    <row r="60" spans="11:28">
      <c r="K60">
        <v>330</v>
      </c>
      <c r="L60">
        <f t="shared" si="7"/>
        <v>33.410519999999998</v>
      </c>
      <c r="M60">
        <f t="shared" si="9"/>
        <v>33.410519999999998</v>
      </c>
      <c r="N60">
        <f t="shared" si="9"/>
        <v>33.410519999999998</v>
      </c>
      <c r="O60">
        <f t="shared" si="9"/>
        <v>32.43141</v>
      </c>
      <c r="P60">
        <f t="shared" si="9"/>
        <v>31.452300000000001</v>
      </c>
      <c r="Q60">
        <f t="shared" si="9"/>
        <v>26.875530000000001</v>
      </c>
      <c r="R60">
        <f t="shared" si="9"/>
        <v>22.298759999999998</v>
      </c>
      <c r="S60">
        <f t="shared" si="9"/>
        <v>22.002750000000002</v>
      </c>
      <c r="T60">
        <f t="shared" si="9"/>
        <v>21.70674</v>
      </c>
      <c r="U60">
        <f t="shared" si="9"/>
        <v>21.410729999999997</v>
      </c>
      <c r="V60">
        <f t="shared" si="9"/>
        <v>21.114720000000005</v>
      </c>
      <c r="W60">
        <f t="shared" si="9"/>
        <v>21.114720000000005</v>
      </c>
      <c r="X60">
        <f t="shared" si="9"/>
        <v>21.114720000000005</v>
      </c>
      <c r="Y60">
        <f t="shared" si="9"/>
        <v>21.114720000000005</v>
      </c>
      <c r="Z60">
        <f t="shared" si="9"/>
        <v>21.114720000000005</v>
      </c>
      <c r="AA60">
        <f t="shared" si="9"/>
        <v>21.114720000000005</v>
      </c>
      <c r="AB60">
        <f t="shared" si="9"/>
        <v>21.114720000000005</v>
      </c>
    </row>
    <row r="61" spans="11:28">
      <c r="K61">
        <v>340</v>
      </c>
      <c r="L61">
        <f t="shared" si="7"/>
        <v>34.422960000000003</v>
      </c>
      <c r="M61">
        <f t="shared" si="9"/>
        <v>34.422960000000003</v>
      </c>
      <c r="N61">
        <f t="shared" si="9"/>
        <v>34.422960000000003</v>
      </c>
      <c r="O61">
        <f t="shared" si="9"/>
        <v>33.414180000000002</v>
      </c>
      <c r="P61">
        <f t="shared" si="9"/>
        <v>32.4054</v>
      </c>
      <c r="Q61">
        <f t="shared" si="9"/>
        <v>27.68994</v>
      </c>
      <c r="R61">
        <f t="shared" si="9"/>
        <v>22.974479999999996</v>
      </c>
      <c r="S61">
        <f t="shared" si="9"/>
        <v>22.669500000000003</v>
      </c>
      <c r="T61">
        <f t="shared" si="9"/>
        <v>22.364520000000002</v>
      </c>
      <c r="U61">
        <f t="shared" si="9"/>
        <v>22.059539999999998</v>
      </c>
      <c r="V61">
        <f t="shared" si="9"/>
        <v>21.754560000000005</v>
      </c>
      <c r="W61">
        <f t="shared" si="9"/>
        <v>21.754560000000005</v>
      </c>
      <c r="X61">
        <f t="shared" si="9"/>
        <v>21.754560000000005</v>
      </c>
      <c r="Y61">
        <f t="shared" si="9"/>
        <v>21.754560000000005</v>
      </c>
      <c r="Z61">
        <f t="shared" si="9"/>
        <v>21.754560000000005</v>
      </c>
      <c r="AA61">
        <f t="shared" si="9"/>
        <v>21.754560000000005</v>
      </c>
      <c r="AB61">
        <f t="shared" si="9"/>
        <v>21.754560000000005</v>
      </c>
    </row>
    <row r="62" spans="11:28">
      <c r="K62">
        <v>350</v>
      </c>
      <c r="L62">
        <f t="shared" si="7"/>
        <v>35.435400000000001</v>
      </c>
      <c r="M62">
        <f t="shared" si="9"/>
        <v>35.435400000000001</v>
      </c>
      <c r="N62">
        <f t="shared" si="9"/>
        <v>35.435400000000001</v>
      </c>
      <c r="O62">
        <f t="shared" si="9"/>
        <v>34.396950000000004</v>
      </c>
      <c r="P62">
        <f t="shared" si="9"/>
        <v>33.358499999999999</v>
      </c>
      <c r="Q62">
        <f t="shared" si="9"/>
        <v>28.504349999999999</v>
      </c>
      <c r="R62">
        <f t="shared" si="9"/>
        <v>23.650199999999998</v>
      </c>
      <c r="S62">
        <f t="shared" si="9"/>
        <v>23.336250000000003</v>
      </c>
      <c r="T62">
        <f t="shared" si="9"/>
        <v>23.022300000000001</v>
      </c>
      <c r="U62">
        <f t="shared" si="9"/>
        <v>22.708349999999999</v>
      </c>
      <c r="V62">
        <f t="shared" si="9"/>
        <v>22.394400000000005</v>
      </c>
      <c r="W62">
        <f t="shared" si="9"/>
        <v>22.394400000000005</v>
      </c>
      <c r="X62">
        <f t="shared" si="9"/>
        <v>22.394400000000005</v>
      </c>
      <c r="Y62">
        <f t="shared" si="9"/>
        <v>22.394400000000005</v>
      </c>
      <c r="Z62">
        <f t="shared" si="9"/>
        <v>22.394400000000005</v>
      </c>
      <c r="AA62">
        <f t="shared" si="9"/>
        <v>22.394400000000005</v>
      </c>
      <c r="AB62">
        <f t="shared" si="9"/>
        <v>22.394400000000005</v>
      </c>
    </row>
    <row r="63" spans="11:28">
      <c r="K63">
        <v>360</v>
      </c>
      <c r="L63">
        <f t="shared" si="7"/>
        <v>36.447839999999999</v>
      </c>
      <c r="M63">
        <f t="shared" si="9"/>
        <v>36.447839999999999</v>
      </c>
      <c r="N63">
        <f t="shared" si="9"/>
        <v>36.447839999999999</v>
      </c>
      <c r="O63">
        <f t="shared" si="9"/>
        <v>35.379719999999999</v>
      </c>
      <c r="P63">
        <f t="shared" si="9"/>
        <v>34.311599999999999</v>
      </c>
      <c r="Q63">
        <f t="shared" si="9"/>
        <v>29.318760000000001</v>
      </c>
      <c r="R63">
        <f t="shared" si="9"/>
        <v>24.325919999999996</v>
      </c>
      <c r="S63">
        <f t="shared" si="9"/>
        <v>24.003000000000004</v>
      </c>
      <c r="T63">
        <f t="shared" si="9"/>
        <v>23.68008</v>
      </c>
      <c r="U63">
        <f t="shared" si="9"/>
        <v>23.357159999999997</v>
      </c>
      <c r="V63">
        <f t="shared" si="9"/>
        <v>23.034240000000004</v>
      </c>
      <c r="W63">
        <f t="shared" si="9"/>
        <v>23.034240000000004</v>
      </c>
      <c r="X63">
        <f t="shared" si="9"/>
        <v>23.034240000000004</v>
      </c>
      <c r="Y63">
        <f t="shared" si="9"/>
        <v>23.034240000000004</v>
      </c>
      <c r="Z63">
        <f t="shared" si="9"/>
        <v>23.034240000000004</v>
      </c>
      <c r="AA63">
        <f t="shared" si="9"/>
        <v>23.034240000000004</v>
      </c>
      <c r="AB63">
        <f t="shared" si="9"/>
        <v>23.034240000000004</v>
      </c>
    </row>
    <row r="64" spans="11:28">
      <c r="K64">
        <v>370</v>
      </c>
      <c r="L64">
        <f t="shared" si="7"/>
        <v>37.460279999999997</v>
      </c>
      <c r="M64">
        <f t="shared" si="9"/>
        <v>37.460279999999997</v>
      </c>
      <c r="N64">
        <f t="shared" si="9"/>
        <v>37.460279999999997</v>
      </c>
      <c r="O64">
        <f t="shared" si="9"/>
        <v>36.362490000000001</v>
      </c>
      <c r="P64">
        <f t="shared" si="9"/>
        <v>35.264700000000005</v>
      </c>
      <c r="Q64">
        <f t="shared" si="9"/>
        <v>30.13317</v>
      </c>
      <c r="R64">
        <f t="shared" si="9"/>
        <v>25.001639999999998</v>
      </c>
      <c r="S64">
        <f t="shared" si="9"/>
        <v>24.669750000000004</v>
      </c>
      <c r="T64">
        <f t="shared" si="9"/>
        <v>24.337860000000003</v>
      </c>
      <c r="U64">
        <f t="shared" si="9"/>
        <v>24.005969999999998</v>
      </c>
      <c r="V64">
        <f t="shared" si="9"/>
        <v>23.674080000000004</v>
      </c>
      <c r="W64">
        <f t="shared" si="9"/>
        <v>23.674080000000004</v>
      </c>
      <c r="X64">
        <f t="shared" si="9"/>
        <v>23.674080000000004</v>
      </c>
      <c r="Y64">
        <f t="shared" si="9"/>
        <v>23.674080000000004</v>
      </c>
      <c r="Z64">
        <f t="shared" si="9"/>
        <v>23.674080000000004</v>
      </c>
      <c r="AA64">
        <f t="shared" si="9"/>
        <v>23.674080000000004</v>
      </c>
      <c r="AB64">
        <f t="shared" si="9"/>
        <v>23.674080000000004</v>
      </c>
    </row>
    <row r="65" spans="11:28">
      <c r="K65">
        <v>380</v>
      </c>
      <c r="L65">
        <f t="shared" si="7"/>
        <v>38.472720000000002</v>
      </c>
      <c r="M65">
        <f t="shared" si="9"/>
        <v>38.472720000000002</v>
      </c>
      <c r="N65">
        <f t="shared" si="9"/>
        <v>38.472720000000002</v>
      </c>
      <c r="O65">
        <f t="shared" si="9"/>
        <v>37.345260000000003</v>
      </c>
      <c r="P65">
        <f t="shared" si="9"/>
        <v>36.217800000000004</v>
      </c>
      <c r="Q65">
        <f t="shared" si="9"/>
        <v>30.947579999999999</v>
      </c>
      <c r="R65">
        <f t="shared" si="9"/>
        <v>25.677359999999997</v>
      </c>
      <c r="S65">
        <f t="shared" si="9"/>
        <v>25.336500000000004</v>
      </c>
      <c r="T65">
        <f t="shared" si="9"/>
        <v>24.995640000000002</v>
      </c>
      <c r="U65">
        <f t="shared" si="9"/>
        <v>24.654779999999999</v>
      </c>
      <c r="V65">
        <f t="shared" si="9"/>
        <v>24.313920000000007</v>
      </c>
      <c r="W65">
        <f t="shared" si="9"/>
        <v>24.313920000000007</v>
      </c>
      <c r="X65">
        <f t="shared" si="9"/>
        <v>24.313920000000007</v>
      </c>
      <c r="Y65">
        <f t="shared" si="9"/>
        <v>24.313920000000007</v>
      </c>
      <c r="Z65">
        <f t="shared" si="9"/>
        <v>24.313920000000007</v>
      </c>
      <c r="AA65">
        <f t="shared" si="9"/>
        <v>24.313920000000007</v>
      </c>
      <c r="AB65">
        <f t="shared" si="9"/>
        <v>24.313920000000007</v>
      </c>
    </row>
    <row r="66" spans="11:28">
      <c r="K66">
        <v>390</v>
      </c>
      <c r="L66">
        <f t="shared" si="7"/>
        <v>39.48516</v>
      </c>
      <c r="M66">
        <f t="shared" si="9"/>
        <v>39.48516</v>
      </c>
      <c r="N66">
        <f t="shared" si="9"/>
        <v>39.48516</v>
      </c>
      <c r="O66">
        <f t="shared" si="9"/>
        <v>38.328029999999998</v>
      </c>
      <c r="P66">
        <f t="shared" si="9"/>
        <v>37.170900000000003</v>
      </c>
      <c r="Q66">
        <f t="shared" si="9"/>
        <v>31.761990000000001</v>
      </c>
      <c r="R66">
        <f t="shared" si="9"/>
        <v>26.353079999999999</v>
      </c>
      <c r="S66">
        <f t="shared" si="9"/>
        <v>26.003250000000005</v>
      </c>
      <c r="T66">
        <f t="shared" si="9"/>
        <v>25.653420000000001</v>
      </c>
      <c r="U66">
        <f t="shared" si="9"/>
        <v>25.303589999999996</v>
      </c>
      <c r="V66">
        <f t="shared" si="9"/>
        <v>24.953760000000006</v>
      </c>
      <c r="W66">
        <f t="shared" si="9"/>
        <v>24.953760000000006</v>
      </c>
      <c r="X66">
        <f t="shared" si="9"/>
        <v>24.953760000000006</v>
      </c>
      <c r="Y66">
        <f t="shared" si="9"/>
        <v>24.953760000000006</v>
      </c>
      <c r="Z66">
        <f t="shared" si="9"/>
        <v>24.953760000000006</v>
      </c>
      <c r="AA66">
        <f t="shared" si="9"/>
        <v>24.953760000000006</v>
      </c>
      <c r="AB66">
        <f t="shared" si="9"/>
        <v>24.953760000000006</v>
      </c>
    </row>
    <row r="67" spans="11:28">
      <c r="K67">
        <v>400</v>
      </c>
      <c r="L67">
        <f t="shared" si="7"/>
        <v>40.497599999999998</v>
      </c>
      <c r="M67">
        <f t="shared" si="9"/>
        <v>40.497599999999998</v>
      </c>
      <c r="N67">
        <f t="shared" si="9"/>
        <v>40.497599999999998</v>
      </c>
      <c r="O67">
        <f t="shared" si="9"/>
        <v>39.3108</v>
      </c>
      <c r="P67">
        <f t="shared" si="9"/>
        <v>38.124000000000002</v>
      </c>
      <c r="Q67">
        <f t="shared" si="9"/>
        <v>32.5764</v>
      </c>
      <c r="R67">
        <f t="shared" si="9"/>
        <v>27.028799999999997</v>
      </c>
      <c r="S67">
        <f t="shared" si="9"/>
        <v>26.670000000000005</v>
      </c>
      <c r="T67">
        <f t="shared" si="9"/>
        <v>26.311199999999999</v>
      </c>
      <c r="U67">
        <f t="shared" si="9"/>
        <v>25.952399999999997</v>
      </c>
      <c r="V67">
        <f t="shared" si="9"/>
        <v>25.593600000000006</v>
      </c>
      <c r="W67">
        <f t="shared" si="9"/>
        <v>25.593600000000006</v>
      </c>
      <c r="X67">
        <f t="shared" si="9"/>
        <v>25.593600000000006</v>
      </c>
      <c r="Y67">
        <f t="shared" si="9"/>
        <v>25.593600000000006</v>
      </c>
      <c r="Z67">
        <f t="shared" si="9"/>
        <v>25.593600000000006</v>
      </c>
      <c r="AA67">
        <f t="shared" si="9"/>
        <v>25.593600000000006</v>
      </c>
      <c r="AB67">
        <f t="shared" si="9"/>
        <v>25.593600000000006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A8036-289A-6D40-B9B2-D4A07FA752C6}">
  <dimension ref="A1:AB34"/>
  <sheetViews>
    <sheetView zoomScale="80" zoomScaleNormal="80" workbookViewId="0">
      <selection activeCell="M45" sqref="M45"/>
    </sheetView>
  </sheetViews>
  <sheetFormatPr defaultColWidth="11.5546875" defaultRowHeight="15"/>
  <sheetData>
    <row r="1" spans="1:28">
      <c r="A1" s="24"/>
    </row>
    <row r="2" spans="1: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1: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1: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6" spans="1:28" ht="15.75">
      <c r="C6" s="13" t="s">
        <v>120</v>
      </c>
      <c r="D6" s="4"/>
      <c r="E6" s="4"/>
      <c r="F6" s="4"/>
      <c r="G6" s="4"/>
      <c r="H6" s="4"/>
      <c r="I6" s="14"/>
      <c r="J6" s="13" t="s">
        <v>287</v>
      </c>
      <c r="K6" s="4"/>
      <c r="L6" s="4"/>
      <c r="M6" s="4"/>
      <c r="N6" s="4"/>
      <c r="O6" s="4"/>
      <c r="P6" s="4"/>
      <c r="Q6" s="4"/>
      <c r="R6" s="4"/>
      <c r="S6" s="4"/>
      <c r="T6" s="4"/>
      <c r="U6" s="4"/>
      <c r="V6" s="4"/>
      <c r="W6" s="4"/>
      <c r="X6" s="4"/>
      <c r="Y6" s="4"/>
      <c r="Z6" s="4"/>
      <c r="AA6" s="4"/>
      <c r="AB6" s="4"/>
    </row>
    <row r="7" spans="1:28" ht="16.5" thickBot="1">
      <c r="C7" s="43" t="s">
        <v>8</v>
      </c>
      <c r="D7" s="43" t="s">
        <v>9</v>
      </c>
      <c r="E7" s="43" t="s">
        <v>10</v>
      </c>
      <c r="F7" s="43" t="s">
        <v>11</v>
      </c>
      <c r="G7" s="43" t="s">
        <v>12</v>
      </c>
      <c r="H7" s="43" t="s">
        <v>13</v>
      </c>
      <c r="I7" s="44"/>
      <c r="J7" s="43" t="s">
        <v>8</v>
      </c>
      <c r="K7" s="43" t="s">
        <v>11</v>
      </c>
      <c r="L7" s="43">
        <v>2020</v>
      </c>
      <c r="M7" s="43">
        <v>2025</v>
      </c>
      <c r="N7" s="43">
        <v>2030</v>
      </c>
      <c r="O7" s="43">
        <v>2035</v>
      </c>
      <c r="P7" s="43">
        <v>2040</v>
      </c>
      <c r="Q7" s="43">
        <v>2045</v>
      </c>
      <c r="R7" s="43">
        <v>2050</v>
      </c>
      <c r="S7" s="43">
        <v>2055</v>
      </c>
      <c r="T7" s="43">
        <v>2060</v>
      </c>
      <c r="U7" s="43">
        <v>2065</v>
      </c>
      <c r="V7" s="43">
        <v>2070</v>
      </c>
      <c r="W7" s="43">
        <v>2075</v>
      </c>
      <c r="X7" s="43">
        <v>2080</v>
      </c>
      <c r="Y7" s="43">
        <v>2085</v>
      </c>
      <c r="Z7" s="43">
        <v>2090</v>
      </c>
      <c r="AA7" s="43">
        <v>2095</v>
      </c>
      <c r="AB7" s="43">
        <v>2100</v>
      </c>
    </row>
    <row r="8" spans="1:28">
      <c r="C8" t="s">
        <v>14</v>
      </c>
      <c r="D8" t="s">
        <v>344</v>
      </c>
      <c r="E8" s="8"/>
      <c r="F8" t="s">
        <v>343</v>
      </c>
      <c r="G8" s="8"/>
      <c r="I8" s="15"/>
      <c r="J8" t="s">
        <v>14</v>
      </c>
      <c r="K8" t="s">
        <v>343</v>
      </c>
      <c r="L8" s="8">
        <f>G8</f>
        <v>0</v>
      </c>
      <c r="M8" s="8">
        <f>L8</f>
        <v>0</v>
      </c>
      <c r="N8" s="8">
        <f t="shared" ref="N8:AB8" si="0">M8</f>
        <v>0</v>
      </c>
      <c r="O8" s="8">
        <f t="shared" si="0"/>
        <v>0</v>
      </c>
      <c r="P8" s="8">
        <f t="shared" si="0"/>
        <v>0</v>
      </c>
      <c r="Q8" s="8">
        <f t="shared" si="0"/>
        <v>0</v>
      </c>
      <c r="R8" s="8">
        <f t="shared" si="0"/>
        <v>0</v>
      </c>
      <c r="S8" s="8">
        <f t="shared" si="0"/>
        <v>0</v>
      </c>
      <c r="T8" s="8">
        <f t="shared" si="0"/>
        <v>0</v>
      </c>
      <c r="U8" s="8">
        <f t="shared" si="0"/>
        <v>0</v>
      </c>
      <c r="V8" s="8">
        <f t="shared" si="0"/>
        <v>0</v>
      </c>
      <c r="W8" s="8">
        <f t="shared" si="0"/>
        <v>0</v>
      </c>
      <c r="X8" s="8">
        <f t="shared" si="0"/>
        <v>0</v>
      </c>
      <c r="Y8" s="8">
        <f t="shared" si="0"/>
        <v>0</v>
      </c>
      <c r="Z8" s="8">
        <f t="shared" si="0"/>
        <v>0</v>
      </c>
      <c r="AA8" s="8">
        <f t="shared" si="0"/>
        <v>0</v>
      </c>
      <c r="AB8" s="8">
        <f t="shared" si="0"/>
        <v>0</v>
      </c>
    </row>
    <row r="9" spans="1:28">
      <c r="C9" t="s">
        <v>19</v>
      </c>
      <c r="D9" t="s">
        <v>345</v>
      </c>
      <c r="F9" t="s">
        <v>346</v>
      </c>
      <c r="G9" s="8"/>
      <c r="I9" s="15"/>
      <c r="J9" t="s">
        <v>19</v>
      </c>
      <c r="K9" t="s">
        <v>346</v>
      </c>
      <c r="L9" s="8">
        <f t="shared" ref="L9:L13" si="1">G9</f>
        <v>0</v>
      </c>
      <c r="M9" s="8">
        <f t="shared" ref="M9:AB15" si="2">L9</f>
        <v>0</v>
      </c>
      <c r="N9" s="8">
        <f t="shared" si="2"/>
        <v>0</v>
      </c>
      <c r="O9" s="8">
        <f t="shared" si="2"/>
        <v>0</v>
      </c>
      <c r="P9" s="8">
        <f t="shared" si="2"/>
        <v>0</v>
      </c>
      <c r="Q9" s="8">
        <f t="shared" si="2"/>
        <v>0</v>
      </c>
      <c r="R9" s="8">
        <f t="shared" si="2"/>
        <v>0</v>
      </c>
      <c r="S9" s="8">
        <f t="shared" si="2"/>
        <v>0</v>
      </c>
      <c r="T9" s="8">
        <f t="shared" si="2"/>
        <v>0</v>
      </c>
      <c r="U9" s="8">
        <f t="shared" si="2"/>
        <v>0</v>
      </c>
      <c r="V9" s="8">
        <f t="shared" si="2"/>
        <v>0</v>
      </c>
      <c r="W9" s="8">
        <f t="shared" si="2"/>
        <v>0</v>
      </c>
      <c r="X9" s="8">
        <f t="shared" si="2"/>
        <v>0</v>
      </c>
      <c r="Y9" s="8">
        <f t="shared" si="2"/>
        <v>0</v>
      </c>
      <c r="Z9" s="8">
        <f t="shared" si="2"/>
        <v>0</v>
      </c>
      <c r="AA9" s="8">
        <f t="shared" si="2"/>
        <v>0</v>
      </c>
      <c r="AB9" s="8">
        <f t="shared" si="2"/>
        <v>0</v>
      </c>
    </row>
    <row r="10" spans="1:28">
      <c r="C10" t="s">
        <v>20</v>
      </c>
      <c r="D10" t="s">
        <v>345</v>
      </c>
      <c r="F10" t="s">
        <v>346</v>
      </c>
      <c r="I10" s="15"/>
      <c r="J10" t="s">
        <v>20</v>
      </c>
      <c r="K10" t="s">
        <v>346</v>
      </c>
      <c r="L10" s="8">
        <f t="shared" si="1"/>
        <v>0</v>
      </c>
      <c r="M10" s="8">
        <f t="shared" si="2"/>
        <v>0</v>
      </c>
      <c r="N10" s="8">
        <f t="shared" si="2"/>
        <v>0</v>
      </c>
      <c r="O10" s="8">
        <f t="shared" si="2"/>
        <v>0</v>
      </c>
      <c r="P10" s="8">
        <f t="shared" si="2"/>
        <v>0</v>
      </c>
      <c r="Q10" s="8">
        <f t="shared" si="2"/>
        <v>0</v>
      </c>
      <c r="R10" s="8">
        <f t="shared" si="2"/>
        <v>0</v>
      </c>
      <c r="S10" s="8">
        <f t="shared" si="2"/>
        <v>0</v>
      </c>
      <c r="T10" s="8">
        <f t="shared" si="2"/>
        <v>0</v>
      </c>
      <c r="U10" s="8">
        <f t="shared" si="2"/>
        <v>0</v>
      </c>
      <c r="V10" s="8">
        <f t="shared" si="2"/>
        <v>0</v>
      </c>
      <c r="W10" s="8">
        <f t="shared" si="2"/>
        <v>0</v>
      </c>
      <c r="X10" s="8">
        <f t="shared" si="2"/>
        <v>0</v>
      </c>
      <c r="Y10" s="8">
        <f t="shared" si="2"/>
        <v>0</v>
      </c>
      <c r="Z10" s="8">
        <f t="shared" si="2"/>
        <v>0</v>
      </c>
      <c r="AA10" s="8">
        <f t="shared" si="2"/>
        <v>0</v>
      </c>
      <c r="AB10" s="8">
        <f t="shared" si="2"/>
        <v>0</v>
      </c>
    </row>
    <row r="11" spans="1:28">
      <c r="C11" t="s">
        <v>15</v>
      </c>
      <c r="D11" t="s">
        <v>21</v>
      </c>
      <c r="F11" t="s">
        <v>21</v>
      </c>
      <c r="G11">
        <v>10</v>
      </c>
      <c r="I11" s="15"/>
      <c r="J11" t="s">
        <v>15</v>
      </c>
      <c r="K11" t="s">
        <v>21</v>
      </c>
      <c r="L11">
        <f t="shared" si="1"/>
        <v>10</v>
      </c>
      <c r="M11" s="8">
        <f t="shared" si="2"/>
        <v>10</v>
      </c>
      <c r="N11" s="8">
        <f t="shared" si="2"/>
        <v>10</v>
      </c>
      <c r="O11" s="8">
        <f t="shared" si="2"/>
        <v>10</v>
      </c>
      <c r="P11" s="8">
        <f t="shared" si="2"/>
        <v>10</v>
      </c>
      <c r="Q11" s="8">
        <f t="shared" si="2"/>
        <v>10</v>
      </c>
      <c r="R11" s="8">
        <f t="shared" si="2"/>
        <v>10</v>
      </c>
      <c r="S11" s="8">
        <f t="shared" si="2"/>
        <v>10</v>
      </c>
      <c r="T11" s="8">
        <f t="shared" si="2"/>
        <v>10</v>
      </c>
      <c r="U11" s="8">
        <f t="shared" si="2"/>
        <v>10</v>
      </c>
      <c r="V11" s="8">
        <f t="shared" si="2"/>
        <v>10</v>
      </c>
      <c r="W11" s="8">
        <f t="shared" si="2"/>
        <v>10</v>
      </c>
      <c r="X11" s="8">
        <f t="shared" si="2"/>
        <v>10</v>
      </c>
      <c r="Y11" s="8">
        <f t="shared" si="2"/>
        <v>10</v>
      </c>
      <c r="Z11" s="8">
        <f t="shared" si="2"/>
        <v>10</v>
      </c>
      <c r="AA11" s="8">
        <f t="shared" si="2"/>
        <v>10</v>
      </c>
      <c r="AB11" s="8">
        <f t="shared" si="2"/>
        <v>10</v>
      </c>
    </row>
    <row r="12" spans="1:28">
      <c r="C12" t="s">
        <v>16</v>
      </c>
      <c r="D12" t="s">
        <v>22</v>
      </c>
      <c r="F12" t="s">
        <v>22</v>
      </c>
      <c r="I12" s="15"/>
      <c r="J12" t="s">
        <v>16</v>
      </c>
      <c r="K12" t="s">
        <v>22</v>
      </c>
      <c r="L12">
        <f>L3*8760</f>
        <v>7884</v>
      </c>
      <c r="M12" s="8">
        <f t="shared" si="2"/>
        <v>7884</v>
      </c>
      <c r="N12" s="8">
        <f t="shared" si="2"/>
        <v>7884</v>
      </c>
      <c r="O12" s="8">
        <f t="shared" si="2"/>
        <v>7884</v>
      </c>
      <c r="P12" s="8">
        <f t="shared" si="2"/>
        <v>7884</v>
      </c>
      <c r="Q12" s="8">
        <f t="shared" si="2"/>
        <v>7884</v>
      </c>
      <c r="R12" s="8">
        <f t="shared" si="2"/>
        <v>7884</v>
      </c>
      <c r="S12" s="8">
        <f t="shared" si="2"/>
        <v>7884</v>
      </c>
      <c r="T12" s="8">
        <f t="shared" si="2"/>
        <v>7884</v>
      </c>
      <c r="U12" s="8">
        <f t="shared" si="2"/>
        <v>7884</v>
      </c>
      <c r="V12" s="8">
        <f t="shared" si="2"/>
        <v>7884</v>
      </c>
      <c r="W12" s="8">
        <f t="shared" si="2"/>
        <v>7884</v>
      </c>
      <c r="X12" s="8">
        <f t="shared" si="2"/>
        <v>7884</v>
      </c>
      <c r="Y12" s="8">
        <f t="shared" si="2"/>
        <v>7884</v>
      </c>
      <c r="Z12" s="8">
        <f t="shared" si="2"/>
        <v>7884</v>
      </c>
      <c r="AA12" s="8">
        <f t="shared" si="2"/>
        <v>7884</v>
      </c>
      <c r="AB12" s="8">
        <f t="shared" si="2"/>
        <v>7884</v>
      </c>
    </row>
    <row r="13" spans="1:28">
      <c r="C13" t="s">
        <v>29</v>
      </c>
      <c r="D13" s="2" t="s">
        <v>7</v>
      </c>
      <c r="F13" s="2" t="s">
        <v>7</v>
      </c>
      <c r="I13" s="15"/>
      <c r="J13" t="s">
        <v>29</v>
      </c>
      <c r="K13" s="2" t="s">
        <v>7</v>
      </c>
      <c r="L13">
        <f t="shared" si="1"/>
        <v>0</v>
      </c>
      <c r="M13" s="8">
        <f t="shared" si="2"/>
        <v>0</v>
      </c>
      <c r="N13" s="8">
        <f t="shared" si="2"/>
        <v>0</v>
      </c>
      <c r="O13" s="8">
        <f t="shared" si="2"/>
        <v>0</v>
      </c>
      <c r="P13" s="8">
        <f t="shared" si="2"/>
        <v>0</v>
      </c>
      <c r="Q13" s="8">
        <f t="shared" si="2"/>
        <v>0</v>
      </c>
      <c r="R13" s="8">
        <f t="shared" si="2"/>
        <v>0</v>
      </c>
      <c r="S13" s="8">
        <f t="shared" si="2"/>
        <v>0</v>
      </c>
      <c r="T13" s="8">
        <f t="shared" si="2"/>
        <v>0</v>
      </c>
      <c r="U13" s="8">
        <f t="shared" si="2"/>
        <v>0</v>
      </c>
      <c r="V13" s="8">
        <f t="shared" si="2"/>
        <v>0</v>
      </c>
      <c r="W13" s="8">
        <f t="shared" si="2"/>
        <v>0</v>
      </c>
      <c r="X13" s="8">
        <f t="shared" si="2"/>
        <v>0</v>
      </c>
      <c r="Y13" s="8">
        <f t="shared" si="2"/>
        <v>0</v>
      </c>
      <c r="Z13" s="8">
        <f t="shared" si="2"/>
        <v>0</v>
      </c>
      <c r="AA13" s="8">
        <f t="shared" si="2"/>
        <v>0</v>
      </c>
      <c r="AB13" s="8">
        <f t="shared" si="2"/>
        <v>0</v>
      </c>
    </row>
    <row r="14" spans="1:28">
      <c r="D14" s="2"/>
      <c r="F14" s="2"/>
      <c r="I14" s="15"/>
      <c r="J14" t="s">
        <v>17</v>
      </c>
      <c r="K14" s="2" t="s">
        <v>7</v>
      </c>
      <c r="L14" s="9">
        <f>(L$2*(1+L$2)^L11)/((1+L$2)^L11-1)</f>
        <v>0.14237750272736471</v>
      </c>
      <c r="M14" s="8">
        <f t="shared" si="2"/>
        <v>0.14237750272736471</v>
      </c>
      <c r="N14" s="8">
        <f t="shared" si="2"/>
        <v>0.14237750272736471</v>
      </c>
      <c r="O14" s="8">
        <f t="shared" si="2"/>
        <v>0.14237750272736471</v>
      </c>
      <c r="P14" s="8">
        <f t="shared" si="2"/>
        <v>0.14237750272736471</v>
      </c>
      <c r="Q14" s="8">
        <f t="shared" si="2"/>
        <v>0.14237750272736471</v>
      </c>
      <c r="R14" s="8">
        <f t="shared" si="2"/>
        <v>0.14237750272736471</v>
      </c>
      <c r="S14" s="8">
        <f t="shared" si="2"/>
        <v>0.14237750272736471</v>
      </c>
      <c r="T14" s="8">
        <f t="shared" si="2"/>
        <v>0.14237750272736471</v>
      </c>
      <c r="U14" s="8">
        <f t="shared" si="2"/>
        <v>0.14237750272736471</v>
      </c>
      <c r="V14" s="8">
        <f t="shared" si="2"/>
        <v>0.14237750272736471</v>
      </c>
      <c r="W14" s="8">
        <f t="shared" si="2"/>
        <v>0.14237750272736471</v>
      </c>
      <c r="X14" s="8">
        <f t="shared" si="2"/>
        <v>0.14237750272736471</v>
      </c>
      <c r="Y14" s="8">
        <f t="shared" si="2"/>
        <v>0.14237750272736471</v>
      </c>
      <c r="Z14" s="8">
        <f t="shared" si="2"/>
        <v>0.14237750272736471</v>
      </c>
      <c r="AA14" s="8">
        <f t="shared" si="2"/>
        <v>0.14237750272736471</v>
      </c>
      <c r="AB14" s="8">
        <f t="shared" si="2"/>
        <v>0.14237750272736471</v>
      </c>
    </row>
    <row r="15" spans="1:28">
      <c r="I15" s="15"/>
      <c r="J15" s="4" t="s">
        <v>28</v>
      </c>
      <c r="K15" s="4" t="s">
        <v>346</v>
      </c>
      <c r="L15" s="7">
        <f>(L8*L14+L9)/(L12/8760)+L10</f>
        <v>0</v>
      </c>
      <c r="M15" s="10">
        <f t="shared" si="2"/>
        <v>0</v>
      </c>
      <c r="N15" s="10">
        <f t="shared" si="2"/>
        <v>0</v>
      </c>
      <c r="O15" s="10">
        <f t="shared" si="2"/>
        <v>0</v>
      </c>
      <c r="P15" s="10">
        <f t="shared" si="2"/>
        <v>0</v>
      </c>
      <c r="Q15" s="10">
        <f t="shared" si="2"/>
        <v>0</v>
      </c>
      <c r="R15" s="10">
        <f t="shared" si="2"/>
        <v>0</v>
      </c>
      <c r="S15" s="10">
        <f t="shared" si="2"/>
        <v>0</v>
      </c>
      <c r="T15" s="10">
        <f t="shared" si="2"/>
        <v>0</v>
      </c>
      <c r="U15" s="10">
        <f t="shared" si="2"/>
        <v>0</v>
      </c>
      <c r="V15" s="10">
        <f t="shared" si="2"/>
        <v>0</v>
      </c>
      <c r="W15" s="10">
        <f t="shared" si="2"/>
        <v>0</v>
      </c>
      <c r="X15" s="10">
        <f t="shared" si="2"/>
        <v>0</v>
      </c>
      <c r="Y15" s="10">
        <f t="shared" si="2"/>
        <v>0</v>
      </c>
      <c r="Z15" s="10">
        <f t="shared" si="2"/>
        <v>0</v>
      </c>
      <c r="AA15" s="10">
        <f t="shared" si="2"/>
        <v>0</v>
      </c>
      <c r="AB15" s="10">
        <f t="shared" si="2"/>
        <v>0</v>
      </c>
    </row>
    <row r="16" spans="1:28">
      <c r="C16" t="s">
        <v>23</v>
      </c>
      <c r="D16" t="s">
        <v>347</v>
      </c>
      <c r="E16">
        <v>0.12778800000000001</v>
      </c>
      <c r="F16" t="s">
        <v>347</v>
      </c>
      <c r="G16">
        <f>E16</f>
        <v>0.12778800000000001</v>
      </c>
      <c r="H16" t="s">
        <v>112</v>
      </c>
      <c r="I16" s="15"/>
      <c r="J16" t="s">
        <v>23</v>
      </c>
      <c r="K16" t="s">
        <v>26</v>
      </c>
      <c r="L16">
        <f>$G$16</f>
        <v>0.12778800000000001</v>
      </c>
      <c r="M16">
        <f t="shared" ref="M16:AB16" si="3">$G$16</f>
        <v>0.12778800000000001</v>
      </c>
      <c r="N16">
        <f t="shared" si="3"/>
        <v>0.12778800000000001</v>
      </c>
      <c r="O16">
        <f t="shared" si="3"/>
        <v>0.12778800000000001</v>
      </c>
      <c r="P16">
        <f t="shared" si="3"/>
        <v>0.12778800000000001</v>
      </c>
      <c r="Q16">
        <f t="shared" si="3"/>
        <v>0.12778800000000001</v>
      </c>
      <c r="R16">
        <f t="shared" si="3"/>
        <v>0.12778800000000001</v>
      </c>
      <c r="S16">
        <f t="shared" si="3"/>
        <v>0.12778800000000001</v>
      </c>
      <c r="T16">
        <f t="shared" si="3"/>
        <v>0.12778800000000001</v>
      </c>
      <c r="U16">
        <f t="shared" si="3"/>
        <v>0.12778800000000001</v>
      </c>
      <c r="V16">
        <f t="shared" si="3"/>
        <v>0.12778800000000001</v>
      </c>
      <c r="W16">
        <f t="shared" si="3"/>
        <v>0.12778800000000001</v>
      </c>
      <c r="X16">
        <f t="shared" si="3"/>
        <v>0.12778800000000001</v>
      </c>
      <c r="Y16">
        <f t="shared" si="3"/>
        <v>0.12778800000000001</v>
      </c>
      <c r="Z16">
        <f t="shared" si="3"/>
        <v>0.12778800000000001</v>
      </c>
      <c r="AA16">
        <f t="shared" si="3"/>
        <v>0.12778800000000001</v>
      </c>
      <c r="AB16">
        <f t="shared" si="3"/>
        <v>0.12778800000000001</v>
      </c>
    </row>
    <row r="17" spans="3:28">
      <c r="C17" t="s">
        <v>24</v>
      </c>
      <c r="D17" t="s">
        <v>87</v>
      </c>
      <c r="E17">
        <v>0</v>
      </c>
      <c r="F17" t="s">
        <v>27</v>
      </c>
      <c r="G17">
        <v>0</v>
      </c>
      <c r="I17" s="15"/>
      <c r="J17" t="s">
        <v>24</v>
      </c>
      <c r="K17" t="s">
        <v>27</v>
      </c>
      <c r="L17">
        <f>$G$17</f>
        <v>0</v>
      </c>
      <c r="M17">
        <f t="shared" ref="M17:AB17" si="4">$G$17</f>
        <v>0</v>
      </c>
      <c r="N17">
        <f t="shared" si="4"/>
        <v>0</v>
      </c>
      <c r="O17">
        <f t="shared" si="4"/>
        <v>0</v>
      </c>
      <c r="P17">
        <f t="shared" si="4"/>
        <v>0</v>
      </c>
      <c r="Q17">
        <f t="shared" si="4"/>
        <v>0</v>
      </c>
      <c r="R17">
        <f t="shared" si="4"/>
        <v>0</v>
      </c>
      <c r="S17">
        <f t="shared" si="4"/>
        <v>0</v>
      </c>
      <c r="T17">
        <f t="shared" si="4"/>
        <v>0</v>
      </c>
      <c r="U17">
        <f t="shared" si="4"/>
        <v>0</v>
      </c>
      <c r="V17">
        <f t="shared" si="4"/>
        <v>0</v>
      </c>
      <c r="W17">
        <f t="shared" si="4"/>
        <v>0</v>
      </c>
      <c r="X17">
        <f t="shared" si="4"/>
        <v>0</v>
      </c>
      <c r="Y17">
        <f t="shared" si="4"/>
        <v>0</v>
      </c>
      <c r="Z17">
        <f t="shared" si="4"/>
        <v>0</v>
      </c>
      <c r="AA17">
        <f t="shared" si="4"/>
        <v>0</v>
      </c>
      <c r="AB17">
        <f t="shared" si="4"/>
        <v>0</v>
      </c>
    </row>
    <row r="18" spans="3:28">
      <c r="C18" t="s">
        <v>25</v>
      </c>
      <c r="D18" t="s">
        <v>87</v>
      </c>
      <c r="E18">
        <v>0</v>
      </c>
      <c r="F18" t="s">
        <v>27</v>
      </c>
      <c r="G18">
        <v>0</v>
      </c>
      <c r="I18" s="15"/>
      <c r="J18" t="s">
        <v>25</v>
      </c>
      <c r="K18" t="s">
        <v>27</v>
      </c>
      <c r="L18">
        <f>$G$18</f>
        <v>0</v>
      </c>
      <c r="M18">
        <f t="shared" ref="M18:AB18" si="5">$G$18</f>
        <v>0</v>
      </c>
      <c r="N18">
        <f t="shared" si="5"/>
        <v>0</v>
      </c>
      <c r="O18">
        <f t="shared" si="5"/>
        <v>0</v>
      </c>
      <c r="P18">
        <f t="shared" si="5"/>
        <v>0</v>
      </c>
      <c r="Q18">
        <f t="shared" si="5"/>
        <v>0</v>
      </c>
      <c r="R18">
        <f t="shared" si="5"/>
        <v>0</v>
      </c>
      <c r="S18">
        <f t="shared" si="5"/>
        <v>0</v>
      </c>
      <c r="T18">
        <f t="shared" si="5"/>
        <v>0</v>
      </c>
      <c r="U18">
        <f t="shared" si="5"/>
        <v>0</v>
      </c>
      <c r="V18">
        <f t="shared" si="5"/>
        <v>0</v>
      </c>
      <c r="W18">
        <f t="shared" si="5"/>
        <v>0</v>
      </c>
      <c r="X18">
        <f t="shared" si="5"/>
        <v>0</v>
      </c>
      <c r="Y18">
        <f t="shared" si="5"/>
        <v>0</v>
      </c>
      <c r="Z18">
        <f t="shared" si="5"/>
        <v>0</v>
      </c>
      <c r="AA18">
        <f t="shared" si="5"/>
        <v>0</v>
      </c>
      <c r="AB18">
        <f t="shared" si="5"/>
        <v>0</v>
      </c>
    </row>
    <row r="19" spans="3:28">
      <c r="I19" s="15"/>
      <c r="J19" s="4" t="s">
        <v>42</v>
      </c>
      <c r="K19" s="4" t="s">
        <v>45</v>
      </c>
      <c r="L19" s="7">
        <f>L15+L16*L4</f>
        <v>5.2776443999999998</v>
      </c>
      <c r="M19" s="7">
        <f t="shared" ref="M19:AB19" si="6">M15+M16*M4</f>
        <v>5.2776443999999998</v>
      </c>
      <c r="N19" s="7">
        <f t="shared" si="6"/>
        <v>5.2776443999999998</v>
      </c>
      <c r="O19" s="7">
        <f t="shared" si="6"/>
        <v>5.0029002</v>
      </c>
      <c r="P19" s="7">
        <f t="shared" si="6"/>
        <v>4.7281560000000002</v>
      </c>
      <c r="Q19" s="7">
        <f t="shared" si="6"/>
        <v>3.4438866000000004</v>
      </c>
      <c r="R19" s="7">
        <f t="shared" si="6"/>
        <v>2.1596172</v>
      </c>
      <c r="S19" s="7">
        <f t="shared" si="6"/>
        <v>2.0765550000000004</v>
      </c>
      <c r="T19" s="7">
        <f t="shared" si="6"/>
        <v>1.9934928000000001</v>
      </c>
      <c r="U19" s="7">
        <f t="shared" si="6"/>
        <v>1.9104306000000002</v>
      </c>
      <c r="V19" s="7">
        <f t="shared" si="6"/>
        <v>1.8273684000000003</v>
      </c>
      <c r="W19" s="7">
        <f t="shared" si="6"/>
        <v>1.8273684000000003</v>
      </c>
      <c r="X19" s="7">
        <f t="shared" si="6"/>
        <v>1.8273684000000003</v>
      </c>
      <c r="Y19" s="7">
        <f t="shared" si="6"/>
        <v>1.8273684000000003</v>
      </c>
      <c r="Z19" s="7">
        <f t="shared" si="6"/>
        <v>1.8273684000000003</v>
      </c>
      <c r="AA19" s="7">
        <f t="shared" si="6"/>
        <v>1.8273684000000003</v>
      </c>
      <c r="AB19" s="7">
        <f t="shared" si="6"/>
        <v>1.8273684000000003</v>
      </c>
    </row>
    <row r="20" spans="3:28">
      <c r="E20" s="5"/>
      <c r="G20" s="5"/>
      <c r="H20" s="5"/>
      <c r="I20" s="15"/>
    </row>
    <row r="31" spans="3:28">
      <c r="C31" t="s">
        <v>352</v>
      </c>
    </row>
    <row r="32" spans="3:28">
      <c r="C32" t="s">
        <v>350</v>
      </c>
      <c r="D32" t="s">
        <v>351</v>
      </c>
    </row>
    <row r="33" spans="4:8">
      <c r="D33">
        <v>50</v>
      </c>
      <c r="E33">
        <v>20</v>
      </c>
      <c r="F33">
        <v>10</v>
      </c>
      <c r="G33">
        <v>2</v>
      </c>
    </row>
    <row r="34" spans="4:8">
      <c r="D34">
        <f>0.07*277.8</f>
        <v>19.446000000000002</v>
      </c>
      <c r="E34">
        <f>0.2*277.8</f>
        <v>55.56</v>
      </c>
      <c r="F34">
        <f>0.46*277.8</f>
        <v>127.78800000000001</v>
      </c>
      <c r="G34">
        <f>3*277.8</f>
        <v>833.40000000000009</v>
      </c>
      <c r="H34" t="s">
        <v>112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F3DB1-6BD1-4741-88E1-9274ED64D14C}">
  <dimension ref="A1:P24"/>
  <sheetViews>
    <sheetView zoomScale="80" zoomScaleNormal="80" workbookViewId="0">
      <selection activeCell="E20" sqref="E20"/>
    </sheetView>
  </sheetViews>
  <sheetFormatPr defaultColWidth="11.5546875" defaultRowHeight="15"/>
  <cols>
    <col min="2" max="2" width="12.109375" bestFit="1" customWidth="1"/>
    <col min="12" max="12" width="11" bestFit="1" customWidth="1"/>
    <col min="13" max="13" width="12" bestFit="1" customWidth="1"/>
  </cols>
  <sheetData>
    <row r="1" spans="1:16">
      <c r="A1" t="s">
        <v>656</v>
      </c>
      <c r="B1">
        <v>7</v>
      </c>
      <c r="F1" t="s">
        <v>654</v>
      </c>
      <c r="G1" t="s">
        <v>658</v>
      </c>
      <c r="H1" t="s">
        <v>668</v>
      </c>
      <c r="J1" t="s">
        <v>667</v>
      </c>
      <c r="L1" s="103" t="s">
        <v>655</v>
      </c>
      <c r="M1" s="103"/>
      <c r="N1" t="s">
        <v>653</v>
      </c>
      <c r="O1" s="103" t="s">
        <v>653</v>
      </c>
      <c r="P1" s="103"/>
    </row>
    <row r="2" spans="1:16">
      <c r="A2" t="s">
        <v>657</v>
      </c>
      <c r="B2">
        <v>20</v>
      </c>
      <c r="F2" s="64" t="s">
        <v>670</v>
      </c>
      <c r="G2" s="64" t="s">
        <v>664</v>
      </c>
      <c r="H2" t="s">
        <v>659</v>
      </c>
      <c r="I2" t="s">
        <v>660</v>
      </c>
      <c r="J2" t="s">
        <v>659</v>
      </c>
      <c r="K2" t="s">
        <v>660</v>
      </c>
      <c r="L2" t="s">
        <v>659</v>
      </c>
      <c r="M2" t="s">
        <v>660</v>
      </c>
      <c r="N2" s="64" t="s">
        <v>645</v>
      </c>
      <c r="O2" t="s">
        <v>659</v>
      </c>
      <c r="P2" t="s">
        <v>660</v>
      </c>
    </row>
    <row r="3" spans="1:16">
      <c r="A3" t="s">
        <v>663</v>
      </c>
      <c r="B3">
        <v>1</v>
      </c>
      <c r="F3" s="8">
        <f>10^3</f>
        <v>1000</v>
      </c>
      <c r="G3">
        <f>69.183*(F3^-1.242)</f>
        <v>1.3001677533690068E-2</v>
      </c>
      <c r="H3">
        <f>G3*$B$7*125*$B$4</f>
        <v>1.0959361629000418E-3</v>
      </c>
      <c r="I3">
        <f>G3*$B$7*140*$B$4</f>
        <v>1.2274485024480468E-3</v>
      </c>
      <c r="J3">
        <f>$B$3*H3*$B$8</f>
        <v>3.2878084887001251E-4</v>
      </c>
      <c r="K3">
        <f>$B$3*I3*$B$8</f>
        <v>3.6823455073441402E-4</v>
      </c>
      <c r="L3" s="16">
        <f>MIN(J3/$B$3,1)</f>
        <v>3.2878084887001251E-4</v>
      </c>
      <c r="M3" s="16">
        <f>MIN(K3/$B$3,1)</f>
        <v>3.6823455073441402E-4</v>
      </c>
      <c r="N3">
        <f>MAX(10*14.94*(1/SQRT(F3)-1/SQRT($B$5)),0)</f>
        <v>0</v>
      </c>
      <c r="O3">
        <f>$N3/L3</f>
        <v>0</v>
      </c>
      <c r="P3">
        <f>$N3/M3</f>
        <v>0</v>
      </c>
    </row>
    <row r="4" spans="1:16">
      <c r="A4" t="s">
        <v>665</v>
      </c>
      <c r="B4">
        <f>3600*8760</f>
        <v>31536000</v>
      </c>
      <c r="C4" t="s">
        <v>666</v>
      </c>
      <c r="F4" s="8">
        <f>F3/2</f>
        <v>500</v>
      </c>
      <c r="G4">
        <f t="shared" ref="G4:G23" si="0">69.183*(F4^-1.242)</f>
        <v>3.0752373813039333E-2</v>
      </c>
      <c r="H4">
        <f t="shared" ref="H4:H23" si="1">G4*$B$7*125*$B$4</f>
        <v>2.5921761610684054E-3</v>
      </c>
      <c r="I4">
        <f t="shared" ref="I4:I23" si="2">G4*$B$7*140*$B$4</f>
        <v>2.9032373003966142E-3</v>
      </c>
      <c r="J4">
        <f t="shared" ref="J4:J23" si="3">$B$3*H4*$B$8</f>
        <v>7.7765284832052156E-4</v>
      </c>
      <c r="K4">
        <f t="shared" ref="K4:K23" si="4">$B$3*I4*$B$8</f>
        <v>8.7097119011898426E-4</v>
      </c>
      <c r="L4" s="16">
        <f t="shared" ref="L4:L23" si="5">MIN(J4/$B$3,1)</f>
        <v>7.7765284832052156E-4</v>
      </c>
      <c r="M4" s="16">
        <f t="shared" ref="M4:M23" si="6">MIN(K4/$B$3,1)</f>
        <v>8.7097119011898426E-4</v>
      </c>
      <c r="N4">
        <f t="shared" ref="N4:N23" si="7">MAX(10*14.94*(1/SQRT(F4)-1/SQRT($B$5)),0)</f>
        <v>0</v>
      </c>
      <c r="O4">
        <f t="shared" ref="O4:O23" si="8">$N4/L4</f>
        <v>0</v>
      </c>
      <c r="P4">
        <f t="shared" ref="P4:P23" si="9">$N4/M4</f>
        <v>0</v>
      </c>
    </row>
    <row r="5" spans="1:16">
      <c r="A5" t="s">
        <v>669</v>
      </c>
      <c r="B5">
        <v>100</v>
      </c>
      <c r="C5" t="s">
        <v>670</v>
      </c>
      <c r="F5" s="8">
        <f t="shared" ref="F5:F23" si="10">F4/2</f>
        <v>250</v>
      </c>
      <c r="G5">
        <f t="shared" si="0"/>
        <v>7.2737421204792985E-2</v>
      </c>
      <c r="H5">
        <f t="shared" si="1"/>
        <v>6.1311757723467013E-3</v>
      </c>
      <c r="I5">
        <f t="shared" si="2"/>
        <v>6.8669168650283049E-3</v>
      </c>
      <c r="J5">
        <f t="shared" si="3"/>
        <v>1.8393527317040104E-3</v>
      </c>
      <c r="K5">
        <f t="shared" si="4"/>
        <v>2.0600750595084912E-3</v>
      </c>
      <c r="L5" s="16">
        <f t="shared" si="5"/>
        <v>1.8393527317040104E-3</v>
      </c>
      <c r="M5" s="16">
        <f t="shared" si="6"/>
        <v>2.0600750595084912E-3</v>
      </c>
      <c r="N5">
        <f t="shared" si="7"/>
        <v>0</v>
      </c>
      <c r="O5">
        <f t="shared" si="8"/>
        <v>0</v>
      </c>
      <c r="P5">
        <f t="shared" si="9"/>
        <v>0</v>
      </c>
    </row>
    <row r="6" spans="1:16">
      <c r="B6" t="s">
        <v>659</v>
      </c>
      <c r="C6" t="s">
        <v>660</v>
      </c>
      <c r="F6" s="8">
        <f t="shared" si="10"/>
        <v>125</v>
      </c>
      <c r="G6">
        <f t="shared" si="0"/>
        <v>0.17204305838920755</v>
      </c>
      <c r="H6">
        <f t="shared" si="1"/>
        <v>1.4501837072646058E-2</v>
      </c>
      <c r="I6">
        <f t="shared" si="2"/>
        <v>1.6242057521363585E-2</v>
      </c>
      <c r="J6">
        <f t="shared" si="3"/>
        <v>4.3505511217938175E-3</v>
      </c>
      <c r="K6">
        <f t="shared" si="4"/>
        <v>4.8726172564090755E-3</v>
      </c>
      <c r="L6" s="16">
        <f t="shared" si="5"/>
        <v>4.3505511217938175E-3</v>
      </c>
      <c r="M6" s="16">
        <f t="shared" si="6"/>
        <v>4.8726172564090755E-3</v>
      </c>
      <c r="N6">
        <f t="shared" si="7"/>
        <v>0</v>
      </c>
      <c r="O6">
        <f t="shared" si="8"/>
        <v>0</v>
      </c>
      <c r="P6">
        <f t="shared" si="9"/>
        <v>0</v>
      </c>
    </row>
    <row r="7" spans="1:16">
      <c r="A7" t="s">
        <v>661</v>
      </c>
      <c r="B7">
        <f>(588*10^(1-1.16*B1)+0.0822*10^(0.16*(B1-14)))*EXP(-47500/(8.314472*(273+B2)))</f>
        <v>2.1383030097767613E-11</v>
      </c>
      <c r="C7">
        <f>5.55*10^-8*10^(0.372*B1)</f>
        <v>2.2299390002116188E-5</v>
      </c>
      <c r="F7" s="8">
        <f t="shared" si="10"/>
        <v>62.5</v>
      </c>
      <c r="G7">
        <f t="shared" si="0"/>
        <v>0.40692690845577983</v>
      </c>
      <c r="H7">
        <f t="shared" si="1"/>
        <v>3.4300644165201975E-2</v>
      </c>
      <c r="I7">
        <f t="shared" si="2"/>
        <v>3.841672146502622E-2</v>
      </c>
      <c r="J7">
        <f t="shared" si="3"/>
        <v>1.0290193249560592E-2</v>
      </c>
      <c r="K7">
        <f t="shared" si="4"/>
        <v>1.1525016439507865E-2</v>
      </c>
      <c r="L7" s="16">
        <f t="shared" si="5"/>
        <v>1.0290193249560592E-2</v>
      </c>
      <c r="M7" s="16">
        <f t="shared" si="6"/>
        <v>1.1525016439507865E-2</v>
      </c>
      <c r="N7">
        <f t="shared" si="7"/>
        <v>3.9577712971662331</v>
      </c>
      <c r="O7">
        <f t="shared" si="8"/>
        <v>384.61583773805575</v>
      </c>
      <c r="P7">
        <f t="shared" si="9"/>
        <v>343.40699798040686</v>
      </c>
    </row>
    <row r="8" spans="1:16">
      <c r="A8" t="s">
        <v>662</v>
      </c>
      <c r="B8">
        <v>0.3</v>
      </c>
      <c r="C8">
        <v>1.25</v>
      </c>
      <c r="F8" s="8">
        <f t="shared" si="10"/>
        <v>31.25</v>
      </c>
      <c r="G8">
        <f t="shared" si="0"/>
        <v>0.9624887535466321</v>
      </c>
      <c r="H8">
        <f t="shared" si="1"/>
        <v>8.1130010236222544E-2</v>
      </c>
      <c r="I8">
        <f t="shared" si="2"/>
        <v>9.0865611464569243E-2</v>
      </c>
      <c r="J8">
        <f t="shared" si="3"/>
        <v>2.4339003070866762E-2</v>
      </c>
      <c r="K8">
        <f t="shared" si="4"/>
        <v>2.7259683439370772E-2</v>
      </c>
      <c r="L8" s="16">
        <f t="shared" si="5"/>
        <v>2.4339003070866762E-2</v>
      </c>
      <c r="M8" s="16">
        <f t="shared" si="6"/>
        <v>2.7259683439370772E-2</v>
      </c>
      <c r="N8">
        <f t="shared" si="7"/>
        <v>11.785484467077486</v>
      </c>
      <c r="O8">
        <f t="shared" si="8"/>
        <v>484.22215292722672</v>
      </c>
      <c r="P8">
        <f t="shared" si="9"/>
        <v>432.3412079707382</v>
      </c>
    </row>
    <row r="9" spans="1:16">
      <c r="B9">
        <f>1/B8</f>
        <v>3.3333333333333335</v>
      </c>
      <c r="C9">
        <f>1/C8</f>
        <v>0.8</v>
      </c>
      <c r="F9" s="8">
        <f t="shared" si="10"/>
        <v>15.625</v>
      </c>
      <c r="G9">
        <f t="shared" si="0"/>
        <v>2.2765380746611825</v>
      </c>
      <c r="H9">
        <f t="shared" si="1"/>
        <v>0.19189373031096274</v>
      </c>
      <c r="I9">
        <f t="shared" si="2"/>
        <v>0.21492097794827827</v>
      </c>
      <c r="J9">
        <f t="shared" si="3"/>
        <v>5.7568119093288822E-2</v>
      </c>
      <c r="K9">
        <f t="shared" si="4"/>
        <v>6.4476293384483477E-2</v>
      </c>
      <c r="L9" s="16">
        <f t="shared" si="5"/>
        <v>5.7568119093288822E-2</v>
      </c>
      <c r="M9" s="16">
        <f t="shared" si="6"/>
        <v>6.4476293384483477E-2</v>
      </c>
      <c r="N9">
        <f t="shared" si="7"/>
        <v>22.855542594332466</v>
      </c>
      <c r="O9">
        <f t="shared" si="8"/>
        <v>397.01735881443659</v>
      </c>
      <c r="P9">
        <f t="shared" si="9"/>
        <v>354.47978465574698</v>
      </c>
    </row>
    <row r="10" spans="1:16">
      <c r="F10" s="8">
        <f t="shared" si="10"/>
        <v>7.8125</v>
      </c>
      <c r="G10">
        <f t="shared" si="0"/>
        <v>5.38460900066086</v>
      </c>
      <c r="H10">
        <f t="shared" si="1"/>
        <v>0.45387894843646748</v>
      </c>
      <c r="I10">
        <f t="shared" si="2"/>
        <v>0.50834442224884357</v>
      </c>
      <c r="J10">
        <f t="shared" si="3"/>
        <v>0.13616368453094024</v>
      </c>
      <c r="K10">
        <f t="shared" si="4"/>
        <v>0.15250332667465308</v>
      </c>
      <c r="L10" s="16">
        <f t="shared" si="5"/>
        <v>0.13616368453094024</v>
      </c>
      <c r="M10" s="16">
        <f t="shared" si="6"/>
        <v>0.15250332667465308</v>
      </c>
      <c r="N10">
        <f t="shared" si="7"/>
        <v>38.510968934154967</v>
      </c>
      <c r="O10">
        <f t="shared" si="8"/>
        <v>282.82848739602213</v>
      </c>
      <c r="P10">
        <f t="shared" si="9"/>
        <v>252.52543517501977</v>
      </c>
    </row>
    <row r="11" spans="1:16">
      <c r="F11" s="8">
        <f t="shared" si="10"/>
        <v>3.90625</v>
      </c>
      <c r="G11">
        <f t="shared" si="0"/>
        <v>12.736011056750334</v>
      </c>
      <c r="H11">
        <f t="shared" si="1"/>
        <v>1.0735426295583583</v>
      </c>
      <c r="I11">
        <f t="shared" si="2"/>
        <v>1.2023677451053614</v>
      </c>
      <c r="J11">
        <f t="shared" si="3"/>
        <v>0.3220627888675075</v>
      </c>
      <c r="K11">
        <f t="shared" si="4"/>
        <v>0.36071032353160842</v>
      </c>
      <c r="L11" s="16">
        <f t="shared" si="5"/>
        <v>0.3220627888675075</v>
      </c>
      <c r="M11" s="16">
        <f t="shared" si="6"/>
        <v>0.36071032353160842</v>
      </c>
      <c r="N11">
        <f t="shared" si="7"/>
        <v>60.651085188664943</v>
      </c>
      <c r="O11">
        <f t="shared" si="8"/>
        <v>188.32068554686714</v>
      </c>
      <c r="P11">
        <f t="shared" si="9"/>
        <v>168.14346923827424</v>
      </c>
    </row>
    <row r="12" spans="1:16">
      <c r="F12" s="8">
        <f t="shared" si="10"/>
        <v>1.953125</v>
      </c>
      <c r="G12">
        <f t="shared" si="0"/>
        <v>30.124002990330208</v>
      </c>
      <c r="H12">
        <f t="shared" si="1"/>
        <v>2.5392095875986564</v>
      </c>
      <c r="I12">
        <f t="shared" si="2"/>
        <v>2.8439147381104952</v>
      </c>
      <c r="J12">
        <f t="shared" si="3"/>
        <v>0.76176287627959693</v>
      </c>
      <c r="K12">
        <f t="shared" si="4"/>
        <v>0.85317442143314859</v>
      </c>
      <c r="L12" s="16">
        <f t="shared" si="5"/>
        <v>0.76176287627959693</v>
      </c>
      <c r="M12" s="16">
        <f t="shared" si="6"/>
        <v>0.85317442143314859</v>
      </c>
      <c r="N12">
        <f t="shared" si="7"/>
        <v>91.96193786830996</v>
      </c>
      <c r="O12">
        <f t="shared" si="8"/>
        <v>120.7225249902521</v>
      </c>
      <c r="P12">
        <f t="shared" si="9"/>
        <v>107.78796874129651</v>
      </c>
    </row>
    <row r="13" spans="1:16">
      <c r="F13" s="8">
        <f t="shared" si="10"/>
        <v>0.9765625</v>
      </c>
      <c r="G13">
        <f t="shared" si="0"/>
        <v>71.251159575623518</v>
      </c>
      <c r="H13">
        <f t="shared" si="1"/>
        <v>6.0058959488226318</v>
      </c>
      <c r="I13">
        <f t="shared" si="2"/>
        <v>6.7266034626813473</v>
      </c>
      <c r="J13">
        <f t="shared" si="3"/>
        <v>1.8017687846467894</v>
      </c>
      <c r="K13">
        <f t="shared" si="4"/>
        <v>2.0179810388044039</v>
      </c>
      <c r="L13" s="16">
        <f t="shared" si="5"/>
        <v>1</v>
      </c>
      <c r="M13" s="16">
        <f t="shared" si="6"/>
        <v>1</v>
      </c>
      <c r="N13">
        <f t="shared" si="7"/>
        <v>136.24217037732987</v>
      </c>
      <c r="O13">
        <f t="shared" si="8"/>
        <v>136.24217037732987</v>
      </c>
      <c r="P13">
        <f t="shared" si="9"/>
        <v>136.24217037732987</v>
      </c>
    </row>
    <row r="14" spans="1:16">
      <c r="F14" s="8">
        <f t="shared" si="10"/>
        <v>0.48828125</v>
      </c>
      <c r="G14">
        <f t="shared" si="0"/>
        <v>168.52766023494934</v>
      </c>
      <c r="H14">
        <f t="shared" si="1"/>
        <v>14.205517466636707</v>
      </c>
      <c r="I14">
        <f t="shared" si="2"/>
        <v>15.910179562633111</v>
      </c>
      <c r="J14">
        <f t="shared" si="3"/>
        <v>4.2616552399910121</v>
      </c>
      <c r="K14">
        <f t="shared" si="4"/>
        <v>4.7730538687899333</v>
      </c>
      <c r="L14" s="16">
        <f t="shared" si="5"/>
        <v>1</v>
      </c>
      <c r="M14" s="16">
        <f t="shared" si="6"/>
        <v>1</v>
      </c>
      <c r="N14">
        <f t="shared" si="7"/>
        <v>198.86387573661989</v>
      </c>
      <c r="O14">
        <f t="shared" si="8"/>
        <v>198.86387573661989</v>
      </c>
      <c r="P14">
        <f t="shared" si="9"/>
        <v>198.86387573661989</v>
      </c>
    </row>
    <row r="15" spans="1:16">
      <c r="F15" s="8">
        <f t="shared" si="10"/>
        <v>0.244140625</v>
      </c>
      <c r="G15">
        <f t="shared" si="0"/>
        <v>398.61207078492623</v>
      </c>
      <c r="H15">
        <f t="shared" si="1"/>
        <v>33.599770661108415</v>
      </c>
      <c r="I15">
        <f t="shared" si="2"/>
        <v>37.631743140441422</v>
      </c>
      <c r="J15">
        <f t="shared" si="3"/>
        <v>10.079931198332524</v>
      </c>
      <c r="K15">
        <f t="shared" si="4"/>
        <v>11.289522942132427</v>
      </c>
      <c r="L15" s="16">
        <f t="shared" si="5"/>
        <v>1</v>
      </c>
      <c r="M15" s="16">
        <f t="shared" si="6"/>
        <v>1</v>
      </c>
      <c r="N15">
        <f t="shared" si="7"/>
        <v>287.42434075465974</v>
      </c>
      <c r="O15">
        <f t="shared" si="8"/>
        <v>287.42434075465974</v>
      </c>
      <c r="P15">
        <f t="shared" si="9"/>
        <v>287.42434075465974</v>
      </c>
    </row>
    <row r="16" spans="1:16">
      <c r="F16" s="8">
        <f t="shared" si="10"/>
        <v>0.1220703125</v>
      </c>
      <c r="G16">
        <f t="shared" si="0"/>
        <v>942.82198396353283</v>
      </c>
      <c r="H16">
        <f t="shared" si="1"/>
        <v>79.472260769840901</v>
      </c>
      <c r="I16">
        <f t="shared" si="2"/>
        <v>89.008932062221803</v>
      </c>
      <c r="J16">
        <f t="shared" si="3"/>
        <v>23.841678230952269</v>
      </c>
      <c r="K16">
        <f t="shared" si="4"/>
        <v>26.70267961866654</v>
      </c>
      <c r="L16" s="16">
        <f t="shared" si="5"/>
        <v>1</v>
      </c>
      <c r="M16" s="16">
        <f t="shared" si="6"/>
        <v>1</v>
      </c>
      <c r="N16">
        <f t="shared" si="7"/>
        <v>412.66775147323978</v>
      </c>
      <c r="O16">
        <f t="shared" si="8"/>
        <v>412.66775147323978</v>
      </c>
      <c r="P16">
        <f t="shared" si="9"/>
        <v>412.66775147323978</v>
      </c>
    </row>
    <row r="17" spans="6:16">
      <c r="F17" s="8">
        <f t="shared" si="10"/>
        <v>6.103515625E-2</v>
      </c>
      <c r="G17">
        <f t="shared" si="0"/>
        <v>2230.0210118939199</v>
      </c>
      <c r="H17">
        <f t="shared" si="1"/>
        <v>187.97271849180055</v>
      </c>
      <c r="I17">
        <f t="shared" si="2"/>
        <v>210.52944471081662</v>
      </c>
      <c r="J17">
        <f t="shared" si="3"/>
        <v>56.391815547540162</v>
      </c>
      <c r="K17">
        <f t="shared" si="4"/>
        <v>63.158833413244984</v>
      </c>
      <c r="L17" s="16">
        <f t="shared" si="5"/>
        <v>1</v>
      </c>
      <c r="M17" s="16">
        <f t="shared" si="6"/>
        <v>1</v>
      </c>
      <c r="N17">
        <f t="shared" si="7"/>
        <v>589.78868150931953</v>
      </c>
      <c r="O17">
        <f t="shared" si="8"/>
        <v>589.78868150931953</v>
      </c>
      <c r="P17">
        <f t="shared" si="9"/>
        <v>589.78868150931953</v>
      </c>
    </row>
    <row r="18" spans="6:16">
      <c r="F18" s="8">
        <f t="shared" si="10"/>
        <v>3.0517578125E-2</v>
      </c>
      <c r="G18">
        <f t="shared" si="0"/>
        <v>5274.5839597231234</v>
      </c>
      <c r="H18">
        <f t="shared" si="1"/>
        <v>444.60472817713753</v>
      </c>
      <c r="I18">
        <f t="shared" si="2"/>
        <v>497.95729555839398</v>
      </c>
      <c r="J18">
        <f t="shared" si="3"/>
        <v>133.38141845314126</v>
      </c>
      <c r="K18">
        <f t="shared" si="4"/>
        <v>149.38718866751819</v>
      </c>
      <c r="L18" s="16">
        <f t="shared" si="5"/>
        <v>1</v>
      </c>
      <c r="M18" s="16">
        <f t="shared" si="6"/>
        <v>1</v>
      </c>
      <c r="N18">
        <f t="shared" si="7"/>
        <v>840.27550294647961</v>
      </c>
      <c r="O18">
        <f t="shared" si="8"/>
        <v>840.27550294647961</v>
      </c>
      <c r="P18">
        <f t="shared" si="9"/>
        <v>840.27550294647961</v>
      </c>
    </row>
    <row r="19" spans="6:16">
      <c r="F19" s="8">
        <f t="shared" si="10"/>
        <v>1.52587890625E-2</v>
      </c>
      <c r="G19">
        <f t="shared" si="0"/>
        <v>12475.773008318136</v>
      </c>
      <c r="H19">
        <f t="shared" si="1"/>
        <v>1051.6066687948066</v>
      </c>
      <c r="I19">
        <f t="shared" si="2"/>
        <v>1177.7994690501832</v>
      </c>
      <c r="J19">
        <f t="shared" si="3"/>
        <v>315.482000638442</v>
      </c>
      <c r="K19">
        <f t="shared" si="4"/>
        <v>353.33984071505495</v>
      </c>
      <c r="L19" s="16">
        <f t="shared" si="5"/>
        <v>1</v>
      </c>
      <c r="M19" s="16">
        <f t="shared" si="6"/>
        <v>1</v>
      </c>
      <c r="N19">
        <f t="shared" si="7"/>
        <v>1194.5173630186391</v>
      </c>
      <c r="O19">
        <f t="shared" si="8"/>
        <v>1194.5173630186391</v>
      </c>
      <c r="P19">
        <f t="shared" si="9"/>
        <v>1194.5173630186391</v>
      </c>
    </row>
    <row r="20" spans="6:16">
      <c r="F20" s="8">
        <f t="shared" si="10"/>
        <v>7.62939453125E-3</v>
      </c>
      <c r="G20">
        <f t="shared" si="0"/>
        <v>29508.471823292308</v>
      </c>
      <c r="H20">
        <f t="shared" si="1"/>
        <v>2487.3252931604256</v>
      </c>
      <c r="I20">
        <f t="shared" si="2"/>
        <v>2785.8043283396764</v>
      </c>
      <c r="J20">
        <f t="shared" si="3"/>
        <v>746.19758794812765</v>
      </c>
      <c r="K20">
        <f t="shared" si="4"/>
        <v>835.74129850190286</v>
      </c>
      <c r="L20" s="16">
        <f t="shared" si="5"/>
        <v>1</v>
      </c>
      <c r="M20" s="16">
        <f t="shared" si="6"/>
        <v>1</v>
      </c>
      <c r="N20">
        <f t="shared" si="7"/>
        <v>1695.4910058929593</v>
      </c>
      <c r="O20">
        <f t="shared" si="8"/>
        <v>1695.4910058929593</v>
      </c>
      <c r="P20">
        <f t="shared" si="9"/>
        <v>1695.4910058929593</v>
      </c>
    </row>
    <row r="21" spans="6:16">
      <c r="F21" s="8">
        <f t="shared" si="10"/>
        <v>3.814697265625E-3</v>
      </c>
      <c r="G21">
        <f t="shared" si="0"/>
        <v>69795.26709611257</v>
      </c>
      <c r="H21">
        <f t="shared" si="1"/>
        <v>5883.1759987657397</v>
      </c>
      <c r="I21">
        <f t="shared" si="2"/>
        <v>6589.1571186176279</v>
      </c>
      <c r="J21">
        <f t="shared" si="3"/>
        <v>1764.9527996297218</v>
      </c>
      <c r="K21">
        <f t="shared" si="4"/>
        <v>1976.7471355852883</v>
      </c>
      <c r="L21" s="16">
        <f t="shared" si="5"/>
        <v>1</v>
      </c>
      <c r="M21" s="16">
        <f t="shared" si="6"/>
        <v>1</v>
      </c>
      <c r="N21">
        <f t="shared" si="7"/>
        <v>2403.9747260372778</v>
      </c>
      <c r="O21">
        <f t="shared" si="8"/>
        <v>2403.9747260372778</v>
      </c>
      <c r="P21">
        <f t="shared" si="9"/>
        <v>2403.9747260372778</v>
      </c>
    </row>
    <row r="22" spans="6:16">
      <c r="F22" s="8">
        <f t="shared" si="10"/>
        <v>1.9073486328125E-3</v>
      </c>
      <c r="G22">
        <f t="shared" si="0"/>
        <v>165084.09307636542</v>
      </c>
      <c r="H22">
        <f t="shared" si="1"/>
        <v>13915.25263206532</v>
      </c>
      <c r="I22">
        <f t="shared" si="2"/>
        <v>15585.082947913161</v>
      </c>
      <c r="J22">
        <f t="shared" si="3"/>
        <v>4174.5757896195955</v>
      </c>
      <c r="K22">
        <f t="shared" si="4"/>
        <v>4675.5248843739482</v>
      </c>
      <c r="L22" s="16">
        <f t="shared" si="5"/>
        <v>1</v>
      </c>
      <c r="M22" s="16">
        <f t="shared" si="6"/>
        <v>1</v>
      </c>
      <c r="N22">
        <f t="shared" si="7"/>
        <v>3405.9220117859181</v>
      </c>
      <c r="O22">
        <f t="shared" si="8"/>
        <v>3405.9220117859181</v>
      </c>
      <c r="P22">
        <f t="shared" si="9"/>
        <v>3405.9220117859181</v>
      </c>
    </row>
    <row r="23" spans="6:16">
      <c r="F23" s="8">
        <f t="shared" si="10"/>
        <v>9.5367431640625E-4</v>
      </c>
      <c r="G23">
        <f t="shared" si="0"/>
        <v>390467.13223859866</v>
      </c>
      <c r="H23">
        <f t="shared" si="1"/>
        <v>32913.21827781872</v>
      </c>
      <c r="I23">
        <f t="shared" si="2"/>
        <v>36862.804471156967</v>
      </c>
      <c r="J23">
        <f t="shared" si="3"/>
        <v>9873.9654833456152</v>
      </c>
      <c r="K23">
        <f t="shared" si="4"/>
        <v>11058.84134134709</v>
      </c>
      <c r="L23" s="16">
        <f t="shared" si="5"/>
        <v>1</v>
      </c>
      <c r="M23" s="16">
        <f t="shared" si="6"/>
        <v>1</v>
      </c>
      <c r="N23">
        <f t="shared" si="7"/>
        <v>4822.8894520745562</v>
      </c>
      <c r="O23">
        <f t="shared" si="8"/>
        <v>4822.8894520745562</v>
      </c>
      <c r="P23">
        <f t="shared" si="9"/>
        <v>4822.8894520745562</v>
      </c>
    </row>
    <row r="24" spans="6:16">
      <c r="F24" s="4">
        <v>10</v>
      </c>
      <c r="G24" s="4">
        <f t="shared" ref="G24" si="11">69.183*(F24^-1.242)</f>
        <v>3.9627747811692626</v>
      </c>
      <c r="H24" s="4">
        <f t="shared" ref="H24" si="12">G24*$B$7*125*$B$4</f>
        <v>0.33402983398551506</v>
      </c>
      <c r="I24" s="4">
        <f t="shared" ref="I24" si="13">G24*$B$7*140*$B$4</f>
        <v>0.37411341406377691</v>
      </c>
      <c r="J24" s="4">
        <f t="shared" ref="J24" si="14">$B$3*H24*$B$8</f>
        <v>0.10020895019565451</v>
      </c>
      <c r="K24" s="4">
        <f t="shared" ref="K24" si="15">$B$3*I24*$B$8</f>
        <v>0.11223402421913307</v>
      </c>
      <c r="L24" s="86">
        <f t="shared" ref="L24" si="16">MIN(J24/$B$3,1)</f>
        <v>0.10020895019565451</v>
      </c>
      <c r="M24" s="86">
        <f t="shared" ref="M24" si="17">MIN(K24/$B$3,1)</f>
        <v>0.11223402421913307</v>
      </c>
      <c r="N24" s="4">
        <f t="shared" ref="N24" si="18">MAX(10*14.94*(1/SQRT(F24)-1/SQRT($B$5)),0)</f>
        <v>32.304428242915591</v>
      </c>
      <c r="O24" s="4">
        <f t="shared" ref="O24" si="19">$N24/L24</f>
        <v>322.37068824533452</v>
      </c>
      <c r="P24" s="4">
        <f t="shared" ref="P24" si="20">$N24/M24</f>
        <v>287.83097164762</v>
      </c>
    </row>
  </sheetData>
  <mergeCells count="2">
    <mergeCell ref="L1:M1"/>
    <mergeCell ref="O1:P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AC72-FB3D-0B42-9B70-E553999E5590}">
  <dimension ref="A1:V11"/>
  <sheetViews>
    <sheetView zoomScale="80" zoomScaleNormal="80" workbookViewId="0"/>
  </sheetViews>
  <sheetFormatPr defaultColWidth="11.5546875" defaultRowHeight="15"/>
  <sheetData>
    <row r="1" spans="1:22">
      <c r="A1" s="24"/>
    </row>
    <row r="6" spans="1:22">
      <c r="B6" t="s">
        <v>95</v>
      </c>
    </row>
    <row r="7" spans="1:22">
      <c r="C7">
        <v>2013</v>
      </c>
      <c r="D7">
        <v>2014</v>
      </c>
      <c r="E7">
        <v>2015</v>
      </c>
      <c r="F7">
        <v>2016</v>
      </c>
      <c r="G7">
        <v>2017</v>
      </c>
      <c r="H7">
        <v>2018</v>
      </c>
      <c r="I7">
        <v>2019</v>
      </c>
      <c r="J7">
        <v>2020</v>
      </c>
      <c r="K7">
        <v>2021</v>
      </c>
      <c r="L7">
        <v>2022</v>
      </c>
      <c r="N7" t="s">
        <v>94</v>
      </c>
      <c r="P7" t="s">
        <v>94</v>
      </c>
      <c r="R7" t="s">
        <v>94</v>
      </c>
      <c r="T7" t="s">
        <v>94</v>
      </c>
      <c r="V7" t="s">
        <v>94</v>
      </c>
    </row>
    <row r="8" spans="1:22">
      <c r="B8" t="s">
        <v>93</v>
      </c>
      <c r="C8">
        <v>99.35</v>
      </c>
      <c r="D8">
        <v>99.9</v>
      </c>
      <c r="E8">
        <v>100</v>
      </c>
      <c r="F8">
        <v>100.25</v>
      </c>
      <c r="G8">
        <v>101.96</v>
      </c>
      <c r="H8">
        <v>103.89</v>
      </c>
      <c r="I8">
        <v>105.42</v>
      </c>
      <c r="J8">
        <v>106.2</v>
      </c>
      <c r="K8">
        <v>109.28</v>
      </c>
      <c r="L8">
        <v>119.32</v>
      </c>
      <c r="N8" t="s">
        <v>94</v>
      </c>
      <c r="P8" t="s">
        <v>94</v>
      </c>
      <c r="R8" t="s">
        <v>94</v>
      </c>
      <c r="T8" t="s">
        <v>94</v>
      </c>
      <c r="V8" t="s">
        <v>94</v>
      </c>
    </row>
    <row r="10" spans="1:22">
      <c r="D10">
        <f>J8/D8</f>
        <v>1.0630630630630631</v>
      </c>
      <c r="E10">
        <f>D10*5/1.2</f>
        <v>4.4294294294294296</v>
      </c>
    </row>
    <row r="11" spans="1:22">
      <c r="E11">
        <f>D10/1.2*25.07</f>
        <v>22.20915915915916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58AE-3A6F-C641-B154-475FBC0AAD27}">
  <dimension ref="B4:E30"/>
  <sheetViews>
    <sheetView zoomScale="80" zoomScaleNormal="80" workbookViewId="0">
      <selection activeCell="D38" sqref="D38"/>
    </sheetView>
  </sheetViews>
  <sheetFormatPr defaultColWidth="11.5546875" defaultRowHeight="15"/>
  <cols>
    <col min="1" max="1" width="18" customWidth="1"/>
    <col min="2" max="2" width="15" customWidth="1"/>
    <col min="4" max="4" width="102" customWidth="1"/>
    <col min="5" max="5" width="101.33203125" customWidth="1"/>
  </cols>
  <sheetData>
    <row r="4" spans="2:5">
      <c r="B4" s="24"/>
    </row>
    <row r="5" spans="2:5" ht="15.75">
      <c r="B5" s="13" t="s">
        <v>0</v>
      </c>
      <c r="C5" s="13" t="s">
        <v>1</v>
      </c>
      <c r="D5" s="13" t="s">
        <v>2</v>
      </c>
      <c r="E5" s="13" t="s">
        <v>3</v>
      </c>
    </row>
    <row r="6" spans="2:5">
      <c r="B6" t="s">
        <v>171</v>
      </c>
      <c r="C6">
        <v>2013</v>
      </c>
      <c r="D6" t="s">
        <v>205</v>
      </c>
      <c r="E6" s="26" t="s">
        <v>206</v>
      </c>
    </row>
    <row r="7" spans="2:5">
      <c r="B7" t="s">
        <v>161</v>
      </c>
      <c r="C7">
        <v>2021</v>
      </c>
      <c r="D7" t="s">
        <v>741</v>
      </c>
      <c r="E7" s="26" t="s">
        <v>740</v>
      </c>
    </row>
    <row r="8" spans="2:5">
      <c r="B8" t="s">
        <v>167</v>
      </c>
      <c r="C8">
        <v>2022</v>
      </c>
      <c r="D8" t="s">
        <v>198</v>
      </c>
      <c r="E8" s="26" t="s">
        <v>197</v>
      </c>
    </row>
    <row r="9" spans="2:5">
      <c r="B9" t="s">
        <v>172</v>
      </c>
      <c r="C9">
        <v>2018</v>
      </c>
      <c r="D9" t="s">
        <v>207</v>
      </c>
      <c r="E9" s="26" t="s">
        <v>208</v>
      </c>
    </row>
    <row r="10" spans="2:5">
      <c r="B10" t="s">
        <v>57</v>
      </c>
      <c r="C10">
        <v>2022</v>
      </c>
      <c r="D10" t="s">
        <v>187</v>
      </c>
      <c r="E10" s="26" t="s">
        <v>188</v>
      </c>
    </row>
    <row r="11" spans="2:5">
      <c r="B11" t="s">
        <v>163</v>
      </c>
      <c r="C11">
        <v>2022</v>
      </c>
      <c r="D11" t="s">
        <v>190</v>
      </c>
      <c r="E11" s="26" t="s">
        <v>189</v>
      </c>
    </row>
    <row r="12" spans="2:5">
      <c r="B12" t="s">
        <v>173</v>
      </c>
      <c r="C12">
        <v>2008</v>
      </c>
      <c r="D12" t="s">
        <v>210</v>
      </c>
      <c r="E12" s="26" t="s">
        <v>209</v>
      </c>
    </row>
    <row r="13" spans="2:5">
      <c r="B13" t="s">
        <v>173</v>
      </c>
      <c r="C13">
        <v>2009</v>
      </c>
      <c r="D13" t="s">
        <v>212</v>
      </c>
      <c r="E13" s="26" t="s">
        <v>211</v>
      </c>
    </row>
    <row r="14" spans="2:5">
      <c r="B14" t="s">
        <v>175</v>
      </c>
      <c r="C14">
        <v>2021</v>
      </c>
      <c r="D14" t="s">
        <v>215</v>
      </c>
      <c r="E14" s="26" t="s">
        <v>216</v>
      </c>
    </row>
    <row r="15" spans="2:5">
      <c r="B15" t="s">
        <v>165</v>
      </c>
      <c r="C15">
        <v>2013</v>
      </c>
      <c r="D15" t="s">
        <v>194</v>
      </c>
      <c r="E15" s="26" t="s">
        <v>193</v>
      </c>
    </row>
    <row r="16" spans="2:5">
      <c r="B16" t="s">
        <v>55</v>
      </c>
      <c r="C16">
        <v>2020</v>
      </c>
      <c r="D16" t="s">
        <v>181</v>
      </c>
      <c r="E16" s="26" t="s">
        <v>180</v>
      </c>
    </row>
    <row r="17" spans="2:5">
      <c r="B17" t="s">
        <v>55</v>
      </c>
      <c r="C17">
        <v>2019</v>
      </c>
      <c r="D17" t="s">
        <v>742</v>
      </c>
      <c r="E17" s="26" t="s">
        <v>182</v>
      </c>
    </row>
    <row r="18" spans="2:5">
      <c r="B18" t="s">
        <v>169</v>
      </c>
      <c r="C18">
        <v>2019</v>
      </c>
      <c r="D18" t="s">
        <v>201</v>
      </c>
      <c r="E18" s="26" t="s">
        <v>202</v>
      </c>
    </row>
    <row r="19" spans="2:5">
      <c r="B19" t="s">
        <v>162</v>
      </c>
      <c r="C19">
        <v>2021</v>
      </c>
      <c r="D19" t="s">
        <v>738</v>
      </c>
      <c r="E19" s="26" t="s">
        <v>739</v>
      </c>
    </row>
    <row r="20" spans="2:5">
      <c r="B20" t="s">
        <v>174</v>
      </c>
      <c r="C20">
        <v>2006</v>
      </c>
      <c r="D20" t="s">
        <v>214</v>
      </c>
      <c r="E20" s="26" t="s">
        <v>213</v>
      </c>
    </row>
    <row r="21" spans="2:5">
      <c r="B21" t="s">
        <v>743</v>
      </c>
      <c r="C21">
        <v>2024</v>
      </c>
      <c r="D21" t="s">
        <v>744</v>
      </c>
      <c r="E21" t="s">
        <v>745</v>
      </c>
    </row>
    <row r="22" spans="2:5">
      <c r="B22" t="s">
        <v>54</v>
      </c>
      <c r="C22">
        <v>2019</v>
      </c>
      <c r="D22" t="s">
        <v>179</v>
      </c>
      <c r="E22" s="26" t="s">
        <v>178</v>
      </c>
    </row>
    <row r="23" spans="2:5">
      <c r="B23" t="s">
        <v>223</v>
      </c>
      <c r="C23">
        <v>2023</v>
      </c>
      <c r="D23" t="s">
        <v>225</v>
      </c>
      <c r="E23" s="26" t="s">
        <v>224</v>
      </c>
    </row>
    <row r="24" spans="2:5">
      <c r="B24" t="s">
        <v>56</v>
      </c>
      <c r="C24">
        <v>2020</v>
      </c>
      <c r="D24" t="s">
        <v>186</v>
      </c>
      <c r="E24" s="26" t="s">
        <v>185</v>
      </c>
    </row>
    <row r="25" spans="2:5">
      <c r="B25" t="s">
        <v>56</v>
      </c>
      <c r="C25">
        <v>2022</v>
      </c>
      <c r="D25" t="s">
        <v>183</v>
      </c>
      <c r="E25" s="26" t="s">
        <v>184</v>
      </c>
    </row>
    <row r="26" spans="2:5">
      <c r="B26" t="s">
        <v>164</v>
      </c>
      <c r="C26">
        <v>2022</v>
      </c>
      <c r="D26" t="s">
        <v>192</v>
      </c>
      <c r="E26" s="26" t="s">
        <v>191</v>
      </c>
    </row>
    <row r="27" spans="2:5">
      <c r="B27" t="s">
        <v>50</v>
      </c>
      <c r="C27">
        <v>2020</v>
      </c>
      <c r="D27" t="s">
        <v>176</v>
      </c>
      <c r="E27" s="26" t="s">
        <v>177</v>
      </c>
    </row>
    <row r="28" spans="2:5">
      <c r="B28" t="s">
        <v>168</v>
      </c>
      <c r="C28">
        <v>2018</v>
      </c>
      <c r="D28" t="s">
        <v>200</v>
      </c>
      <c r="E28" s="26" t="s">
        <v>199</v>
      </c>
    </row>
    <row r="29" spans="2:5">
      <c r="B29" t="s">
        <v>166</v>
      </c>
      <c r="C29">
        <v>2022</v>
      </c>
      <c r="D29" t="s">
        <v>196</v>
      </c>
      <c r="E29" s="26" t="s">
        <v>195</v>
      </c>
    </row>
    <row r="30" spans="2:5">
      <c r="B30" t="s">
        <v>170</v>
      </c>
      <c r="C30">
        <v>2021</v>
      </c>
      <c r="D30" t="s">
        <v>203</v>
      </c>
      <c r="E30" s="26" t="s">
        <v>204</v>
      </c>
    </row>
  </sheetData>
  <sortState xmlns:xlrd2="http://schemas.microsoft.com/office/spreadsheetml/2017/richdata2" ref="B6:E30">
    <sortCondition ref="B6:B30"/>
  </sortState>
  <hyperlinks>
    <hyperlink ref="E27" r:id="rId1" xr:uid="{4BADD9D8-3247-8E43-861C-5BB1A21A2A36}"/>
    <hyperlink ref="E22" r:id="rId2" tooltip="Persistent link using digital object identifier" xr:uid="{61832D6B-23D3-954B-A3FA-337A210C6C01}"/>
    <hyperlink ref="E16" r:id="rId3" xr:uid="{F27A7BD7-E9CA-6549-B464-89455439A661}"/>
    <hyperlink ref="E17" r:id="rId4" xr:uid="{A334D999-FB4D-FE46-A5BE-8F319AC5D3AA}"/>
    <hyperlink ref="E25" r:id="rId5" xr:uid="{94646BC8-837B-5E45-B184-A5BD8F155DE2}"/>
    <hyperlink ref="E24" r:id="rId6" xr:uid="{85CB7904-EE67-2248-B78D-960DAE60B9C7}"/>
    <hyperlink ref="E10" r:id="rId7" xr:uid="{106103F3-A870-A447-A37B-5A60F03FB31A}"/>
    <hyperlink ref="E11" r:id="rId8" xr:uid="{9C968942-4D40-E14D-BF42-3924EFBBB318}"/>
    <hyperlink ref="E26" r:id="rId9" xr:uid="{B9D4A562-5A7F-CE4E-B1C1-6FA35D85E979}"/>
    <hyperlink ref="E15" r:id="rId10" xr:uid="{0C2D3C72-B8C1-BE49-B60A-3ED960117189}"/>
    <hyperlink ref="E29" r:id="rId11" xr:uid="{DFDF2135-0EAA-3C42-A84F-3F4AE21BBA26}"/>
    <hyperlink ref="E8" r:id="rId12" xr:uid="{E9E8941E-3628-B248-8753-CCCD6A7A4514}"/>
    <hyperlink ref="E28" r:id="rId13" xr:uid="{A8E9F225-C22C-AB4B-A066-B682FF624CF1}"/>
    <hyperlink ref="E18" r:id="rId14" xr:uid="{9371BD75-756C-CB46-A948-0418E1410D00}"/>
    <hyperlink ref="E30" r:id="rId15" xr:uid="{EB2240A0-478E-FA41-926D-474D771A7329}"/>
    <hyperlink ref="E6" r:id="rId16" tooltip="Persistent link using digital object identifier" xr:uid="{C9256BC8-5CC5-9B4D-995D-E84F43E991A0}"/>
    <hyperlink ref="E9" r:id="rId17" xr:uid="{E64A353B-F9CD-0848-9B94-F5971C3F54EF}"/>
    <hyperlink ref="E12" r:id="rId18" xr:uid="{A1C2FD72-CB9F-6344-BD24-EC12E8E3BA7B}"/>
    <hyperlink ref="E13" r:id="rId19" xr:uid="{A2B9B8E2-A7A0-8146-A812-9F9D2F2620FC}"/>
    <hyperlink ref="E20" r:id="rId20" xr:uid="{C5653567-839E-0546-872C-610D64115060}"/>
    <hyperlink ref="E14" r:id="rId21" xr:uid="{629DC240-D7AF-874F-92C8-535089A6C093}"/>
    <hyperlink ref="E23" r:id="rId22" tooltip="Persistent link using digital object identifier" xr:uid="{064C89FA-E5FA-714C-9177-88D308A3ED1A}"/>
    <hyperlink ref="E19" r:id="rId23" xr:uid="{0E766BD0-4D92-C943-979D-C2396249C2AB}"/>
    <hyperlink ref="E7" r:id="rId24" xr:uid="{EDE3362C-42F6-8645-AFCB-1F889019A6B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C18F-DEC4-FC4E-B635-10CF7BEFE4AA}">
  <dimension ref="A1:AB55"/>
  <sheetViews>
    <sheetView zoomScale="75" workbookViewId="0"/>
  </sheetViews>
  <sheetFormatPr defaultColWidth="11.5546875" defaultRowHeight="15"/>
  <sheetData>
    <row r="1" spans="1:28">
      <c r="A1" s="24"/>
    </row>
    <row r="9" spans="1:28" ht="16.5" thickBot="1">
      <c r="B9" t="s">
        <v>121</v>
      </c>
      <c r="C9" t="s">
        <v>116</v>
      </c>
      <c r="D9" t="s">
        <v>117</v>
      </c>
      <c r="E9" t="s">
        <v>13</v>
      </c>
      <c r="I9" s="45" t="s">
        <v>121</v>
      </c>
      <c r="J9" s="45" t="s">
        <v>8</v>
      </c>
      <c r="K9" s="45" t="s">
        <v>11</v>
      </c>
      <c r="L9" s="43">
        <v>2020</v>
      </c>
      <c r="M9" s="43">
        <v>2025</v>
      </c>
      <c r="N9" s="43">
        <v>2030</v>
      </c>
      <c r="O9" s="43">
        <v>2035</v>
      </c>
      <c r="P9" s="43">
        <v>2040</v>
      </c>
      <c r="Q9" s="43">
        <v>2045</v>
      </c>
      <c r="R9" s="43">
        <v>2050</v>
      </c>
      <c r="S9" s="43">
        <v>2055</v>
      </c>
      <c r="T9" s="43">
        <v>2060</v>
      </c>
      <c r="U9" s="43">
        <v>2065</v>
      </c>
      <c r="V9" s="43">
        <v>2070</v>
      </c>
      <c r="W9" s="43">
        <v>2075</v>
      </c>
      <c r="X9" s="43">
        <v>2080</v>
      </c>
      <c r="Y9" s="43">
        <v>2085</v>
      </c>
      <c r="Z9" s="43">
        <v>2090</v>
      </c>
      <c r="AA9" s="43">
        <v>2095</v>
      </c>
      <c r="AB9" s="43">
        <v>2100</v>
      </c>
    </row>
    <row r="10" spans="1:28">
      <c r="B10" t="s">
        <v>118</v>
      </c>
      <c r="C10" s="1">
        <v>0.05</v>
      </c>
      <c r="I10" t="s">
        <v>118</v>
      </c>
      <c r="J10" t="s">
        <v>113</v>
      </c>
      <c r="K10" t="s">
        <v>114</v>
      </c>
    </row>
    <row r="11" spans="1:28">
      <c r="B11" t="s">
        <v>119</v>
      </c>
      <c r="J11" t="s">
        <v>115</v>
      </c>
      <c r="K11" t="s">
        <v>114</v>
      </c>
    </row>
    <row r="12" spans="1:28">
      <c r="B12" t="s">
        <v>120</v>
      </c>
      <c r="C12" s="1">
        <v>0.05</v>
      </c>
      <c r="J12" t="s">
        <v>116</v>
      </c>
      <c r="K12" s="2" t="s">
        <v>7</v>
      </c>
    </row>
    <row r="13" spans="1:28">
      <c r="B13" t="s">
        <v>86</v>
      </c>
      <c r="C13" s="1">
        <v>0</v>
      </c>
      <c r="J13" t="s">
        <v>117</v>
      </c>
      <c r="K13" s="2" t="s">
        <v>7</v>
      </c>
    </row>
    <row r="14" spans="1:28">
      <c r="B14" t="s">
        <v>82</v>
      </c>
      <c r="C14" s="1">
        <v>0.1055</v>
      </c>
      <c r="D14" s="16">
        <v>6.5000000000000002E-2</v>
      </c>
      <c r="E14" t="s">
        <v>51</v>
      </c>
      <c r="J14" s="4" t="s">
        <v>14</v>
      </c>
      <c r="K14" s="18" t="s">
        <v>7</v>
      </c>
      <c r="L14" s="19">
        <v>1</v>
      </c>
      <c r="M14" s="19">
        <v>1</v>
      </c>
      <c r="N14" s="19">
        <v>1</v>
      </c>
      <c r="O14" s="19">
        <v>1</v>
      </c>
      <c r="P14" s="19">
        <v>1</v>
      </c>
      <c r="Q14" s="19">
        <v>1</v>
      </c>
      <c r="R14" s="19">
        <v>1</v>
      </c>
      <c r="S14" s="19">
        <v>1</v>
      </c>
      <c r="T14" s="19">
        <v>1</v>
      </c>
      <c r="U14" s="19">
        <v>1</v>
      </c>
      <c r="V14" s="19">
        <v>1</v>
      </c>
      <c r="W14" s="19">
        <v>1</v>
      </c>
      <c r="X14" s="19">
        <v>1</v>
      </c>
      <c r="Y14" s="19">
        <v>1</v>
      </c>
      <c r="Z14" s="19">
        <v>1</v>
      </c>
      <c r="AA14" s="19">
        <v>1</v>
      </c>
      <c r="AB14" s="19">
        <v>1</v>
      </c>
    </row>
    <row r="15" spans="1:28">
      <c r="B15" t="s">
        <v>122</v>
      </c>
      <c r="C15" s="1">
        <v>0.1</v>
      </c>
      <c r="J15" s="4" t="s">
        <v>19</v>
      </c>
      <c r="K15" s="18" t="s">
        <v>7</v>
      </c>
      <c r="L15" s="19">
        <v>1</v>
      </c>
      <c r="M15" s="19">
        <v>1</v>
      </c>
      <c r="N15" s="19">
        <v>1</v>
      </c>
      <c r="O15" s="19">
        <v>1</v>
      </c>
      <c r="P15" s="19">
        <v>1</v>
      </c>
      <c r="Q15" s="19">
        <v>1</v>
      </c>
      <c r="R15" s="19">
        <v>1</v>
      </c>
      <c r="S15" s="19">
        <v>1</v>
      </c>
      <c r="T15" s="19">
        <v>1</v>
      </c>
      <c r="U15" s="19">
        <v>1</v>
      </c>
      <c r="V15" s="19">
        <v>1</v>
      </c>
      <c r="W15" s="19">
        <v>1</v>
      </c>
      <c r="X15" s="19">
        <v>1</v>
      </c>
      <c r="Y15" s="19">
        <v>1</v>
      </c>
      <c r="Z15" s="19">
        <v>1</v>
      </c>
      <c r="AA15" s="19">
        <v>1</v>
      </c>
      <c r="AB15" s="19">
        <v>1</v>
      </c>
    </row>
    <row r="16" spans="1:28">
      <c r="B16" t="s">
        <v>123</v>
      </c>
    </row>
    <row r="17" spans="9:28">
      <c r="I17" s="20"/>
      <c r="J17" s="20"/>
      <c r="K17" s="20"/>
      <c r="L17" s="20"/>
      <c r="M17" s="20"/>
      <c r="N17" s="20"/>
      <c r="O17" s="20"/>
    </row>
    <row r="18" spans="9:28">
      <c r="I18" t="s">
        <v>119</v>
      </c>
      <c r="J18" t="s">
        <v>113</v>
      </c>
      <c r="K18" t="s">
        <v>114</v>
      </c>
    </row>
    <row r="19" spans="9:28">
      <c r="J19" t="s">
        <v>115</v>
      </c>
      <c r="K19" t="s">
        <v>114</v>
      </c>
    </row>
    <row r="20" spans="9:28">
      <c r="J20" t="s">
        <v>116</v>
      </c>
      <c r="K20" s="2" t="s">
        <v>7</v>
      </c>
    </row>
    <row r="21" spans="9:28">
      <c r="J21" t="s">
        <v>117</v>
      </c>
      <c r="K21" s="2" t="s">
        <v>7</v>
      </c>
    </row>
    <row r="22" spans="9:28">
      <c r="J22" s="4" t="s">
        <v>14</v>
      </c>
      <c r="K22" s="18" t="s">
        <v>7</v>
      </c>
      <c r="L22" s="19">
        <v>1</v>
      </c>
      <c r="M22" s="19">
        <v>1</v>
      </c>
      <c r="N22" s="19">
        <v>1</v>
      </c>
      <c r="O22" s="19">
        <v>1</v>
      </c>
      <c r="P22" s="19">
        <v>1</v>
      </c>
      <c r="Q22" s="19">
        <v>1</v>
      </c>
      <c r="R22" s="19">
        <v>1</v>
      </c>
      <c r="S22" s="19">
        <v>1</v>
      </c>
      <c r="T22" s="19">
        <v>1</v>
      </c>
      <c r="U22" s="19">
        <v>1</v>
      </c>
      <c r="V22" s="19">
        <v>1</v>
      </c>
      <c r="W22" s="19">
        <v>1</v>
      </c>
      <c r="X22" s="19">
        <v>1</v>
      </c>
      <c r="Y22" s="19">
        <v>1</v>
      </c>
      <c r="Z22" s="19">
        <v>1</v>
      </c>
      <c r="AA22" s="19">
        <v>1</v>
      </c>
      <c r="AB22" s="19">
        <v>1</v>
      </c>
    </row>
    <row r="23" spans="9:28">
      <c r="J23" s="4" t="s">
        <v>19</v>
      </c>
      <c r="K23" s="18" t="s">
        <v>7</v>
      </c>
      <c r="L23" s="19">
        <v>1</v>
      </c>
      <c r="M23" s="19">
        <v>1</v>
      </c>
      <c r="N23" s="19">
        <v>1</v>
      </c>
      <c r="O23" s="19">
        <v>1</v>
      </c>
      <c r="P23" s="19">
        <v>1</v>
      </c>
      <c r="Q23" s="19">
        <v>1</v>
      </c>
      <c r="R23" s="19">
        <v>1</v>
      </c>
      <c r="S23" s="19">
        <v>1</v>
      </c>
      <c r="T23" s="19">
        <v>1</v>
      </c>
      <c r="U23" s="19">
        <v>1</v>
      </c>
      <c r="V23" s="19">
        <v>1</v>
      </c>
      <c r="W23" s="19">
        <v>1</v>
      </c>
      <c r="X23" s="19">
        <v>1</v>
      </c>
      <c r="Y23" s="19">
        <v>1</v>
      </c>
      <c r="Z23" s="19">
        <v>1</v>
      </c>
      <c r="AA23" s="19">
        <v>1</v>
      </c>
      <c r="AB23" s="19">
        <v>1</v>
      </c>
    </row>
    <row r="25" spans="9:28">
      <c r="I25" s="20"/>
      <c r="J25" s="20"/>
      <c r="K25" s="20"/>
      <c r="L25" s="20"/>
      <c r="M25" s="20"/>
      <c r="N25" s="20"/>
      <c r="O25" s="20"/>
    </row>
    <row r="26" spans="9:28">
      <c r="I26" t="s">
        <v>120</v>
      </c>
      <c r="J26" t="s">
        <v>113</v>
      </c>
      <c r="K26" t="s">
        <v>114</v>
      </c>
    </row>
    <row r="27" spans="9:28">
      <c r="J27" t="s">
        <v>115</v>
      </c>
      <c r="K27" t="s">
        <v>114</v>
      </c>
    </row>
    <row r="28" spans="9:28">
      <c r="J28" t="s">
        <v>116</v>
      </c>
      <c r="K28" s="2" t="s">
        <v>7</v>
      </c>
    </row>
    <row r="29" spans="9:28">
      <c r="J29" t="s">
        <v>117</v>
      </c>
      <c r="K29" s="2" t="s">
        <v>7</v>
      </c>
    </row>
    <row r="30" spans="9:28">
      <c r="J30" s="4" t="s">
        <v>14</v>
      </c>
      <c r="K30" s="18" t="s">
        <v>7</v>
      </c>
      <c r="L30" s="19">
        <v>1</v>
      </c>
      <c r="M30" s="19">
        <v>1</v>
      </c>
      <c r="N30" s="19">
        <v>1</v>
      </c>
      <c r="O30" s="19">
        <v>1</v>
      </c>
      <c r="P30" s="19">
        <v>1</v>
      </c>
      <c r="Q30" s="19">
        <v>1</v>
      </c>
      <c r="R30" s="19">
        <v>1</v>
      </c>
      <c r="S30" s="19">
        <v>1</v>
      </c>
      <c r="T30" s="19">
        <v>1</v>
      </c>
      <c r="U30" s="19">
        <v>1</v>
      </c>
      <c r="V30" s="19">
        <v>1</v>
      </c>
      <c r="W30" s="19">
        <v>1</v>
      </c>
      <c r="X30" s="19">
        <v>1</v>
      </c>
      <c r="Y30" s="19">
        <v>1</v>
      </c>
      <c r="Z30" s="19">
        <v>1</v>
      </c>
      <c r="AA30" s="19">
        <v>1</v>
      </c>
      <c r="AB30" s="19">
        <v>1</v>
      </c>
    </row>
    <row r="31" spans="9:28">
      <c r="J31" s="4" t="s">
        <v>19</v>
      </c>
      <c r="K31" s="18" t="s">
        <v>7</v>
      </c>
      <c r="L31" s="19">
        <v>1</v>
      </c>
      <c r="M31" s="19">
        <v>1</v>
      </c>
      <c r="N31" s="19">
        <v>1</v>
      </c>
      <c r="O31" s="19">
        <v>1</v>
      </c>
      <c r="P31" s="19">
        <v>1</v>
      </c>
      <c r="Q31" s="19">
        <v>1</v>
      </c>
      <c r="R31" s="19">
        <v>1</v>
      </c>
      <c r="S31" s="19">
        <v>1</v>
      </c>
      <c r="T31" s="19">
        <v>1</v>
      </c>
      <c r="U31" s="19">
        <v>1</v>
      </c>
      <c r="V31" s="19">
        <v>1</v>
      </c>
      <c r="W31" s="19">
        <v>1</v>
      </c>
      <c r="X31" s="19">
        <v>1</v>
      </c>
      <c r="Y31" s="19">
        <v>1</v>
      </c>
      <c r="Z31" s="19">
        <v>1</v>
      </c>
      <c r="AA31" s="19">
        <v>1</v>
      </c>
      <c r="AB31" s="19">
        <v>1</v>
      </c>
    </row>
    <row r="33" spans="9:28">
      <c r="I33" s="20"/>
      <c r="J33" s="20"/>
      <c r="K33" s="20"/>
      <c r="L33" s="20"/>
      <c r="M33" s="20"/>
      <c r="N33" s="20"/>
      <c r="O33" s="20"/>
    </row>
    <row r="34" spans="9:28">
      <c r="I34" t="s">
        <v>86</v>
      </c>
      <c r="J34" t="s">
        <v>113</v>
      </c>
      <c r="K34" t="s">
        <v>114</v>
      </c>
    </row>
    <row r="35" spans="9:28">
      <c r="J35" t="s">
        <v>115</v>
      </c>
      <c r="K35" t="s">
        <v>114</v>
      </c>
    </row>
    <row r="36" spans="9:28">
      <c r="J36" t="s">
        <v>116</v>
      </c>
      <c r="K36" s="2" t="s">
        <v>7</v>
      </c>
    </row>
    <row r="37" spans="9:28">
      <c r="J37" t="s">
        <v>117</v>
      </c>
      <c r="K37" s="2" t="s">
        <v>7</v>
      </c>
    </row>
    <row r="38" spans="9:28">
      <c r="J38" s="4" t="s">
        <v>14</v>
      </c>
      <c r="K38" s="18" t="s">
        <v>7</v>
      </c>
      <c r="L38" s="19">
        <v>1</v>
      </c>
      <c r="M38" s="19">
        <v>1</v>
      </c>
      <c r="N38" s="19">
        <v>1</v>
      </c>
      <c r="O38" s="19">
        <v>1</v>
      </c>
      <c r="P38" s="19">
        <v>1</v>
      </c>
      <c r="Q38" s="19">
        <v>1</v>
      </c>
      <c r="R38" s="19">
        <v>1</v>
      </c>
      <c r="S38" s="19">
        <v>1</v>
      </c>
      <c r="T38" s="19">
        <v>1</v>
      </c>
      <c r="U38" s="19">
        <v>1</v>
      </c>
      <c r="V38" s="19">
        <v>1</v>
      </c>
      <c r="W38" s="19">
        <v>1</v>
      </c>
      <c r="X38" s="19">
        <v>1</v>
      </c>
      <c r="Y38" s="19">
        <v>1</v>
      </c>
      <c r="Z38" s="19">
        <v>1</v>
      </c>
      <c r="AA38" s="19">
        <v>1</v>
      </c>
      <c r="AB38" s="19">
        <v>1</v>
      </c>
    </row>
    <row r="39" spans="9:28">
      <c r="J39" s="4" t="s">
        <v>19</v>
      </c>
      <c r="K39" s="18" t="s">
        <v>7</v>
      </c>
      <c r="L39" s="19">
        <v>1</v>
      </c>
      <c r="M39" s="19">
        <v>1</v>
      </c>
      <c r="N39" s="19">
        <v>1</v>
      </c>
      <c r="O39" s="19">
        <v>1</v>
      </c>
      <c r="P39" s="19">
        <v>1</v>
      </c>
      <c r="Q39" s="19">
        <v>1</v>
      </c>
      <c r="R39" s="19">
        <v>1</v>
      </c>
      <c r="S39" s="19">
        <v>1</v>
      </c>
      <c r="T39" s="19">
        <v>1</v>
      </c>
      <c r="U39" s="19">
        <v>1</v>
      </c>
      <c r="V39" s="19">
        <v>1</v>
      </c>
      <c r="W39" s="19">
        <v>1</v>
      </c>
      <c r="X39" s="19">
        <v>1</v>
      </c>
      <c r="Y39" s="19">
        <v>1</v>
      </c>
      <c r="Z39" s="19">
        <v>1</v>
      </c>
      <c r="AA39" s="19">
        <v>1</v>
      </c>
      <c r="AB39" s="19">
        <v>1</v>
      </c>
    </row>
    <row r="41" spans="9:28">
      <c r="I41" s="20"/>
      <c r="J41" s="20"/>
      <c r="K41" s="20"/>
      <c r="L41" s="20"/>
      <c r="M41" s="20"/>
      <c r="N41" s="20"/>
      <c r="O41" s="20"/>
    </row>
    <row r="42" spans="9:28">
      <c r="I42" t="s">
        <v>82</v>
      </c>
      <c r="J42" t="s">
        <v>113</v>
      </c>
      <c r="K42" t="s">
        <v>114</v>
      </c>
      <c r="L42" s="8">
        <f>$I44/(1+EXP(-$I48*(L$9-$I46)))</f>
        <v>9.5273491256458814E-2</v>
      </c>
      <c r="M42" s="8">
        <f t="shared" ref="M42:AB42" si="0">$I44/(1+EXP(-$I48*(M$9-$I46)))</f>
        <v>0.42694523291236175</v>
      </c>
      <c r="N42" s="8">
        <f t="shared" si="0"/>
        <v>1.9126140837556544</v>
      </c>
      <c r="O42" s="8">
        <f t="shared" si="0"/>
        <v>8.5552761219563198</v>
      </c>
      <c r="P42" s="8">
        <f t="shared" si="0"/>
        <v>38.014821501852403</v>
      </c>
      <c r="Q42" s="8">
        <f t="shared" si="0"/>
        <v>164.09352119438105</v>
      </c>
      <c r="R42" s="8">
        <f t="shared" si="0"/>
        <v>631.19231236999292</v>
      </c>
      <c r="S42" s="8">
        <f t="shared" si="0"/>
        <v>1730</v>
      </c>
      <c r="T42" s="8">
        <f t="shared" si="0"/>
        <v>2828.807687630007</v>
      </c>
      <c r="U42" s="8">
        <f t="shared" si="0"/>
        <v>3295.9064788056194</v>
      </c>
      <c r="V42" s="8">
        <f t="shared" si="0"/>
        <v>3421.9851784981479</v>
      </c>
      <c r="W42" s="8">
        <f t="shared" si="0"/>
        <v>3451.444723878044</v>
      </c>
      <c r="X42" s="8">
        <f t="shared" si="0"/>
        <v>3458.0873859162443</v>
      </c>
      <c r="Y42" s="8">
        <f t="shared" si="0"/>
        <v>3459.5730547670873</v>
      </c>
      <c r="Z42" s="8">
        <f t="shared" si="0"/>
        <v>3459.9047265087434</v>
      </c>
      <c r="AA42" s="8">
        <f t="shared" si="0"/>
        <v>3459.9787411558764</v>
      </c>
      <c r="AB42" s="8">
        <f t="shared" si="0"/>
        <v>3459.9952564880641</v>
      </c>
    </row>
    <row r="43" spans="9:28">
      <c r="I43" t="s">
        <v>589</v>
      </c>
      <c r="J43" t="s">
        <v>115</v>
      </c>
      <c r="K43" t="s">
        <v>114</v>
      </c>
      <c r="L43">
        <f>L42</f>
        <v>9.5273491256458814E-2</v>
      </c>
      <c r="M43">
        <f t="shared" ref="M43:O43" si="1">M42</f>
        <v>0.42694523291236175</v>
      </c>
      <c r="N43">
        <f t="shared" si="1"/>
        <v>1.9126140837556544</v>
      </c>
      <c r="O43">
        <f t="shared" si="1"/>
        <v>8.5552761219563198</v>
      </c>
    </row>
    <row r="44" spans="9:28">
      <c r="I44">
        <v>3460</v>
      </c>
      <c r="J44" t="s">
        <v>116</v>
      </c>
      <c r="K44" s="2" t="s">
        <v>7</v>
      </c>
      <c r="L44" s="16">
        <v>0.1055</v>
      </c>
      <c r="M44" s="16">
        <v>0.1055</v>
      </c>
      <c r="N44" s="16">
        <v>0.1055</v>
      </c>
      <c r="O44" s="16">
        <v>0.1055</v>
      </c>
      <c r="P44" s="16">
        <v>0.1055</v>
      </c>
      <c r="Q44" s="16">
        <v>0.1055</v>
      </c>
      <c r="R44" s="16">
        <v>0.1055</v>
      </c>
      <c r="S44" s="16">
        <v>0.1055</v>
      </c>
      <c r="T44" s="16">
        <v>0.1055</v>
      </c>
      <c r="U44" s="16">
        <v>0.1055</v>
      </c>
      <c r="V44" s="16">
        <v>0.1055</v>
      </c>
      <c r="W44" s="16">
        <v>0.1055</v>
      </c>
      <c r="X44" s="16">
        <v>0.1055</v>
      </c>
      <c r="Y44" s="16">
        <v>0.1055</v>
      </c>
      <c r="Z44" s="16">
        <v>0.1055</v>
      </c>
      <c r="AA44" s="16">
        <v>0.1055</v>
      </c>
      <c r="AB44" s="16">
        <v>0.1055</v>
      </c>
    </row>
    <row r="45" spans="9:28">
      <c r="I45" t="s">
        <v>590</v>
      </c>
      <c r="J45" t="s">
        <v>117</v>
      </c>
      <c r="K45" s="2" t="s">
        <v>7</v>
      </c>
    </row>
    <row r="46" spans="9:28">
      <c r="I46">
        <v>2055</v>
      </c>
      <c r="J46" s="4" t="s">
        <v>14</v>
      </c>
      <c r="K46" s="18" t="s">
        <v>7</v>
      </c>
      <c r="L46" s="19">
        <v>1</v>
      </c>
      <c r="M46" s="19">
        <v>1</v>
      </c>
      <c r="N46" s="19">
        <v>1</v>
      </c>
      <c r="O46" s="19">
        <f t="shared" ref="O46:AB46" si="2">N46*(O42/N42)^(LN(1-$L$44)/LN(2))</f>
        <v>0.78587254947041452</v>
      </c>
      <c r="P46" s="19">
        <f t="shared" si="2"/>
        <v>0.61825654725959189</v>
      </c>
      <c r="Q46" s="19">
        <f t="shared" si="2"/>
        <v>0.48866231863720644</v>
      </c>
      <c r="R46" s="19">
        <f t="shared" si="2"/>
        <v>0.39346153403127743</v>
      </c>
      <c r="S46" s="19">
        <f t="shared" si="2"/>
        <v>0.33455695137069047</v>
      </c>
      <c r="T46" s="19">
        <f t="shared" si="2"/>
        <v>0.30911500457617536</v>
      </c>
      <c r="U46" s="19">
        <f t="shared" si="2"/>
        <v>0.30160911510304544</v>
      </c>
      <c r="V46" s="19">
        <f t="shared" si="2"/>
        <v>0.29979345061626345</v>
      </c>
      <c r="W46" s="19">
        <f t="shared" si="2"/>
        <v>0.29938038420423513</v>
      </c>
      <c r="X46" s="19">
        <f t="shared" si="2"/>
        <v>0.2992878096237212</v>
      </c>
      <c r="Y46" s="19">
        <f t="shared" si="2"/>
        <v>0.2992671330428453</v>
      </c>
      <c r="Z46" s="19">
        <f t="shared" si="2"/>
        <v>0.29926251845686619</v>
      </c>
      <c r="AA46" s="19">
        <f t="shared" si="2"/>
        <v>0.29926148875289843</v>
      </c>
      <c r="AB46" s="19">
        <f t="shared" si="2"/>
        <v>0.29926125899236478</v>
      </c>
    </row>
    <row r="47" spans="9:28">
      <c r="I47" t="s">
        <v>591</v>
      </c>
      <c r="J47" s="4" t="s">
        <v>19</v>
      </c>
      <c r="K47" s="18" t="s">
        <v>7</v>
      </c>
      <c r="L47" s="19">
        <v>1</v>
      </c>
      <c r="M47" s="19">
        <v>1</v>
      </c>
      <c r="N47" s="19">
        <v>1</v>
      </c>
      <c r="O47" s="19">
        <v>1</v>
      </c>
      <c r="P47" s="19">
        <v>1</v>
      </c>
      <c r="Q47" s="19">
        <v>1</v>
      </c>
      <c r="R47" s="19">
        <v>1</v>
      </c>
      <c r="S47" s="19">
        <v>1</v>
      </c>
      <c r="T47" s="19">
        <v>1</v>
      </c>
      <c r="U47" s="19">
        <v>1</v>
      </c>
      <c r="V47" s="19">
        <v>1</v>
      </c>
      <c r="W47" s="19">
        <v>1</v>
      </c>
      <c r="X47" s="19">
        <v>1</v>
      </c>
      <c r="Y47" s="19">
        <v>1</v>
      </c>
      <c r="Z47" s="19">
        <v>1</v>
      </c>
      <c r="AA47" s="19">
        <v>1</v>
      </c>
      <c r="AB47" s="19">
        <v>1</v>
      </c>
    </row>
    <row r="48" spans="9:28">
      <c r="I48">
        <v>0.3</v>
      </c>
    </row>
    <row r="49" spans="9:28">
      <c r="I49" s="20"/>
      <c r="J49" s="20"/>
      <c r="K49" s="20"/>
      <c r="L49" s="20"/>
      <c r="M49" s="20"/>
      <c r="N49" s="20"/>
      <c r="O49" s="20"/>
    </row>
    <row r="50" spans="9:28">
      <c r="I50" t="s">
        <v>122</v>
      </c>
      <c r="J50" t="s">
        <v>113</v>
      </c>
      <c r="K50" t="s">
        <v>114</v>
      </c>
    </row>
    <row r="51" spans="9:28">
      <c r="J51" t="s">
        <v>115</v>
      </c>
      <c r="K51" t="s">
        <v>114</v>
      </c>
    </row>
    <row r="52" spans="9:28">
      <c r="J52" t="s">
        <v>116</v>
      </c>
      <c r="K52" s="2" t="s">
        <v>7</v>
      </c>
    </row>
    <row r="53" spans="9:28">
      <c r="J53" t="s">
        <v>117</v>
      </c>
      <c r="K53" s="2" t="s">
        <v>7</v>
      </c>
    </row>
    <row r="54" spans="9:28">
      <c r="J54" s="4" t="s">
        <v>14</v>
      </c>
      <c r="K54" s="18" t="s">
        <v>7</v>
      </c>
      <c r="L54" s="19">
        <v>1</v>
      </c>
      <c r="M54" s="19">
        <v>1</v>
      </c>
      <c r="N54" s="19">
        <v>1</v>
      </c>
      <c r="O54" s="19">
        <v>1</v>
      </c>
      <c r="P54" s="19">
        <v>1</v>
      </c>
      <c r="Q54" s="19">
        <v>1</v>
      </c>
      <c r="R54" s="19">
        <v>1</v>
      </c>
      <c r="S54" s="19">
        <v>1</v>
      </c>
      <c r="T54" s="19">
        <v>1</v>
      </c>
      <c r="U54" s="19">
        <v>1</v>
      </c>
      <c r="V54" s="19">
        <v>1</v>
      </c>
      <c r="W54" s="19">
        <v>1</v>
      </c>
      <c r="X54" s="19">
        <v>1</v>
      </c>
      <c r="Y54" s="19">
        <v>1</v>
      </c>
      <c r="Z54" s="19">
        <v>1</v>
      </c>
      <c r="AA54" s="19">
        <v>1</v>
      </c>
      <c r="AB54" s="19">
        <v>1</v>
      </c>
    </row>
    <row r="55" spans="9:28">
      <c r="I55" s="20"/>
      <c r="J55" s="17" t="s">
        <v>19</v>
      </c>
      <c r="K55" s="21" t="s">
        <v>7</v>
      </c>
      <c r="L55" s="22">
        <v>1</v>
      </c>
      <c r="M55" s="22">
        <v>1</v>
      </c>
      <c r="N55" s="22">
        <v>1</v>
      </c>
      <c r="O55" s="22">
        <v>1</v>
      </c>
      <c r="P55" s="22">
        <v>1</v>
      </c>
      <c r="Q55" s="22">
        <v>1</v>
      </c>
      <c r="R55" s="22">
        <v>1</v>
      </c>
      <c r="S55" s="22">
        <v>1</v>
      </c>
      <c r="T55" s="22">
        <v>1</v>
      </c>
      <c r="U55" s="22">
        <v>1</v>
      </c>
      <c r="V55" s="22">
        <v>1</v>
      </c>
      <c r="W55" s="22">
        <v>1</v>
      </c>
      <c r="X55" s="22">
        <v>1</v>
      </c>
      <c r="Y55" s="22">
        <v>1</v>
      </c>
      <c r="Z55" s="22">
        <v>1</v>
      </c>
      <c r="AA55" s="22">
        <v>1</v>
      </c>
      <c r="AB55" s="22">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49DC-1BD8-664A-9ABE-A8B5CA5E9959}">
  <dimension ref="A1:V24"/>
  <sheetViews>
    <sheetView zoomScale="80" zoomScaleNormal="80" workbookViewId="0">
      <selection activeCell="S13" sqref="S13"/>
    </sheetView>
  </sheetViews>
  <sheetFormatPr defaultColWidth="11.5546875" defaultRowHeight="15"/>
  <sheetData>
    <row r="1" spans="1:22">
      <c r="A1" s="24"/>
    </row>
    <row r="2" spans="1:22" ht="16.5" thickBot="1">
      <c r="B2" s="38"/>
      <c r="C2" s="40"/>
      <c r="D2" s="39">
        <v>2020</v>
      </c>
      <c r="E2" s="39">
        <v>2025</v>
      </c>
      <c r="F2" s="39">
        <v>2030</v>
      </c>
      <c r="G2" s="39">
        <v>2035</v>
      </c>
      <c r="H2" s="39">
        <v>2040</v>
      </c>
      <c r="I2" s="39">
        <v>2045</v>
      </c>
      <c r="J2" s="39">
        <v>2050</v>
      </c>
      <c r="K2" s="39">
        <v>2055</v>
      </c>
      <c r="L2" s="39">
        <v>2060</v>
      </c>
      <c r="M2" s="39">
        <v>2065</v>
      </c>
      <c r="N2" s="39">
        <v>2070</v>
      </c>
      <c r="O2" s="39">
        <v>2075</v>
      </c>
      <c r="P2" s="39">
        <v>2080</v>
      </c>
      <c r="Q2" s="39">
        <v>2085</v>
      </c>
      <c r="R2" s="39">
        <v>2090</v>
      </c>
      <c r="S2" s="39">
        <v>2095</v>
      </c>
      <c r="T2" s="39">
        <v>2100</v>
      </c>
      <c r="V2" s="3" t="s">
        <v>30</v>
      </c>
    </row>
    <row r="3" spans="1:22">
      <c r="B3" t="s">
        <v>4</v>
      </c>
      <c r="C3" s="41" t="s">
        <v>7</v>
      </c>
      <c r="D3" s="19">
        <v>7.0000000000000007E-2</v>
      </c>
      <c r="E3" s="19">
        <v>7.0000000000000007E-2</v>
      </c>
      <c r="F3" s="19">
        <v>7.0000000000000007E-2</v>
      </c>
      <c r="G3" s="19">
        <v>7.0000000000000007E-2</v>
      </c>
      <c r="H3" s="19">
        <v>7.0000000000000007E-2</v>
      </c>
      <c r="I3" s="19">
        <v>7.0000000000000007E-2</v>
      </c>
      <c r="J3" s="19">
        <v>7.0000000000000007E-2</v>
      </c>
      <c r="K3" s="19">
        <v>7.0000000000000007E-2</v>
      </c>
      <c r="L3" s="19">
        <v>7.0000000000000007E-2</v>
      </c>
      <c r="M3" s="19">
        <v>7.0000000000000007E-2</v>
      </c>
      <c r="N3" s="19">
        <v>7.0000000000000007E-2</v>
      </c>
      <c r="O3" s="19">
        <v>7.0000000000000007E-2</v>
      </c>
      <c r="P3" s="19">
        <v>7.0000000000000007E-2</v>
      </c>
      <c r="Q3" s="19">
        <v>7.0000000000000007E-2</v>
      </c>
      <c r="R3" s="19">
        <v>7.0000000000000007E-2</v>
      </c>
      <c r="S3" s="19">
        <v>7.0000000000000007E-2</v>
      </c>
      <c r="T3" s="19">
        <v>7.0000000000000007E-2</v>
      </c>
      <c r="V3" t="s">
        <v>31</v>
      </c>
    </row>
    <row r="4" spans="1:22">
      <c r="B4" t="s">
        <v>46</v>
      </c>
      <c r="C4" s="41" t="s">
        <v>7</v>
      </c>
      <c r="D4" s="19">
        <v>0.9</v>
      </c>
      <c r="E4" s="19">
        <v>0.91</v>
      </c>
      <c r="F4" s="19">
        <v>0.92</v>
      </c>
      <c r="G4" s="19">
        <v>0.93</v>
      </c>
      <c r="H4" s="19">
        <v>0.94</v>
      </c>
      <c r="I4" s="19">
        <v>0.95</v>
      </c>
      <c r="J4" s="19">
        <v>0.95</v>
      </c>
      <c r="K4" s="19">
        <v>0.95</v>
      </c>
      <c r="L4" s="19">
        <v>0.95</v>
      </c>
      <c r="M4" s="19">
        <v>0.95</v>
      </c>
      <c r="N4" s="19">
        <v>0.95</v>
      </c>
      <c r="O4" s="19">
        <v>0.95</v>
      </c>
      <c r="P4" s="19">
        <v>0.95</v>
      </c>
      <c r="Q4" s="19">
        <v>0.95</v>
      </c>
      <c r="R4" s="19">
        <v>0.95</v>
      </c>
      <c r="S4" s="19">
        <v>0.95</v>
      </c>
      <c r="T4" s="19">
        <v>0.95</v>
      </c>
      <c r="V4" t="s">
        <v>32</v>
      </c>
    </row>
    <row r="5" spans="1:22">
      <c r="B5" t="s">
        <v>5</v>
      </c>
      <c r="C5" s="15" t="s">
        <v>6</v>
      </c>
      <c r="D5">
        <v>41.3</v>
      </c>
      <c r="E5">
        <v>41.3</v>
      </c>
      <c r="F5" s="4">
        <v>41.3</v>
      </c>
      <c r="G5">
        <f>(F5+H5)/2</f>
        <v>39.15</v>
      </c>
      <c r="H5" s="4">
        <v>37</v>
      </c>
      <c r="I5">
        <f>(H5+J5)/2</f>
        <v>26.95</v>
      </c>
      <c r="J5" s="4">
        <v>16.899999999999999</v>
      </c>
      <c r="K5">
        <f>(J5+L5)/2</f>
        <v>16.25</v>
      </c>
      <c r="L5">
        <f>(J5+N5)/2</f>
        <v>15.6</v>
      </c>
      <c r="M5">
        <f>(L5+N5)/2</f>
        <v>14.95</v>
      </c>
      <c r="N5" s="4">
        <v>14.3</v>
      </c>
      <c r="O5">
        <v>14.3</v>
      </c>
      <c r="P5">
        <v>14.3</v>
      </c>
      <c r="Q5">
        <v>14.3</v>
      </c>
      <c r="R5">
        <v>14.3</v>
      </c>
      <c r="S5">
        <v>14.3</v>
      </c>
      <c r="T5">
        <v>14.3</v>
      </c>
      <c r="V5" t="s">
        <v>33</v>
      </c>
    </row>
    <row r="6" spans="1:22">
      <c r="V6" t="s">
        <v>34</v>
      </c>
    </row>
    <row r="7" spans="1:22">
      <c r="V7" t="s">
        <v>35</v>
      </c>
    </row>
    <row r="8" spans="1:22" ht="16.5" thickBot="1">
      <c r="B8" s="47" t="s">
        <v>263</v>
      </c>
      <c r="C8" s="29"/>
      <c r="D8" s="29"/>
      <c r="E8" s="29"/>
      <c r="F8" s="30"/>
      <c r="V8" t="s">
        <v>36</v>
      </c>
    </row>
    <row r="9" spans="1:22" ht="16.5" thickBot="1">
      <c r="B9" s="47" t="s">
        <v>264</v>
      </c>
      <c r="C9" s="29"/>
      <c r="D9" s="29"/>
      <c r="E9" s="29"/>
      <c r="F9" s="31"/>
      <c r="V9" t="s">
        <v>37</v>
      </c>
    </row>
    <row r="10" spans="1:22" ht="15.75">
      <c r="B10" s="48" t="s">
        <v>265</v>
      </c>
      <c r="C10" s="32"/>
      <c r="D10" s="32"/>
      <c r="E10" s="32"/>
      <c r="F10" s="33"/>
      <c r="V10" t="s">
        <v>38</v>
      </c>
    </row>
    <row r="11" spans="1:22" ht="16.5" thickBot="1">
      <c r="B11" s="47" t="s">
        <v>266</v>
      </c>
      <c r="C11" s="29"/>
      <c r="D11" s="29"/>
      <c r="E11" s="29"/>
      <c r="F11" s="34"/>
      <c r="V11" t="s">
        <v>39</v>
      </c>
    </row>
    <row r="12" spans="1:22" ht="16.5" thickBot="1">
      <c r="B12" s="47" t="s">
        <v>267</v>
      </c>
      <c r="C12" s="29"/>
      <c r="D12" s="29"/>
      <c r="E12" s="29"/>
      <c r="F12" s="35"/>
      <c r="V12" t="s">
        <v>40</v>
      </c>
    </row>
    <row r="13" spans="1:22" ht="16.5" thickBot="1">
      <c r="B13" s="49" t="s">
        <v>268</v>
      </c>
      <c r="C13" s="36"/>
      <c r="D13" s="36"/>
      <c r="E13" s="36"/>
      <c r="F13" s="37"/>
    </row>
    <row r="20" spans="2:3">
      <c r="B20" t="s">
        <v>124</v>
      </c>
      <c r="C20" t="s">
        <v>125</v>
      </c>
    </row>
    <row r="21" spans="2:3">
      <c r="B21" t="s">
        <v>126</v>
      </c>
      <c r="C21">
        <v>0</v>
      </c>
    </row>
    <row r="22" spans="2:3">
      <c r="B22" t="s">
        <v>127</v>
      </c>
      <c r="C22">
        <v>-394.39</v>
      </c>
    </row>
    <row r="23" spans="2:3">
      <c r="B23" t="s">
        <v>128</v>
      </c>
      <c r="C23">
        <v>-1129.0999999999999</v>
      </c>
    </row>
    <row r="24" spans="2:3">
      <c r="B24" t="s">
        <v>129</v>
      </c>
      <c r="C24">
        <v>-1012.1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A133-E5EC-564E-9A4C-538A4FD1EFBC}">
  <dimension ref="A1:S47"/>
  <sheetViews>
    <sheetView zoomScale="80" zoomScaleNormal="80" workbookViewId="0">
      <selection activeCell="E10" sqref="E10"/>
    </sheetView>
  </sheetViews>
  <sheetFormatPr defaultColWidth="11.5546875" defaultRowHeight="15"/>
  <cols>
    <col min="1" max="1" width="33.88671875" customWidth="1"/>
    <col min="2" max="2" width="27.5546875" bestFit="1" customWidth="1"/>
    <col min="5" max="5" width="12.109375" bestFit="1" customWidth="1"/>
  </cols>
  <sheetData>
    <row r="1" spans="1:19">
      <c r="C1">
        <v>2020</v>
      </c>
      <c r="D1">
        <v>2025</v>
      </c>
      <c r="E1">
        <v>2030</v>
      </c>
      <c r="F1">
        <v>2035</v>
      </c>
      <c r="G1">
        <v>2040</v>
      </c>
      <c r="H1">
        <v>2045</v>
      </c>
      <c r="I1">
        <v>2050</v>
      </c>
      <c r="J1">
        <v>2055</v>
      </c>
      <c r="K1">
        <v>2060</v>
      </c>
      <c r="L1">
        <v>2065</v>
      </c>
      <c r="M1">
        <v>2070</v>
      </c>
      <c r="N1">
        <v>2075</v>
      </c>
      <c r="O1">
        <v>2080</v>
      </c>
      <c r="P1">
        <v>2085</v>
      </c>
      <c r="Q1">
        <v>2090</v>
      </c>
      <c r="R1">
        <v>2095</v>
      </c>
      <c r="S1">
        <v>2100</v>
      </c>
    </row>
    <row r="2" spans="1:19">
      <c r="B2" t="s">
        <v>677</v>
      </c>
      <c r="C2">
        <v>1.1000000000000001E-3</v>
      </c>
      <c r="D2">
        <v>4.7000000000000002E-3</v>
      </c>
      <c r="E2">
        <v>2.1299999999999999E-2</v>
      </c>
      <c r="F2">
        <v>9.5100000000000004E-2</v>
      </c>
      <c r="G2">
        <v>0.42259999999999998</v>
      </c>
      <c r="H2">
        <v>1.8241000000000001</v>
      </c>
      <c r="I2">
        <v>7.0164</v>
      </c>
      <c r="J2">
        <v>19.230799999999999</v>
      </c>
      <c r="K2">
        <v>31.4452</v>
      </c>
      <c r="L2">
        <v>36.637500000000003</v>
      </c>
      <c r="M2">
        <v>38.039000000000001</v>
      </c>
      <c r="N2">
        <v>38.366399999999999</v>
      </c>
      <c r="O2">
        <v>38.440300000000001</v>
      </c>
      <c r="P2">
        <v>38.456800000000001</v>
      </c>
      <c r="Q2">
        <v>38.460500000000003</v>
      </c>
      <c r="R2">
        <v>38.461300000000001</v>
      </c>
      <c r="S2">
        <v>38.461500000000001</v>
      </c>
    </row>
    <row r="3" spans="1:19">
      <c r="B3" t="s">
        <v>676</v>
      </c>
      <c r="C3">
        <v>2.9999999999999997E-4</v>
      </c>
      <c r="D3">
        <v>1.4E-3</v>
      </c>
      <c r="E3">
        <v>6.1000000000000004E-3</v>
      </c>
      <c r="F3">
        <v>2.7199999999999998E-2</v>
      </c>
      <c r="G3">
        <v>0.1207</v>
      </c>
      <c r="H3">
        <v>0.5212</v>
      </c>
      <c r="I3">
        <v>2.0047000000000001</v>
      </c>
      <c r="J3">
        <v>5.4945000000000004</v>
      </c>
      <c r="K3">
        <v>8.9842999999999993</v>
      </c>
      <c r="L3">
        <v>10.4679</v>
      </c>
      <c r="M3">
        <v>10.8683</v>
      </c>
      <c r="N3">
        <v>10.9618</v>
      </c>
      <c r="O3">
        <v>10.982900000000001</v>
      </c>
      <c r="P3">
        <v>10.9877</v>
      </c>
      <c r="Q3">
        <v>10.9887</v>
      </c>
      <c r="R3">
        <v>10.988899999999999</v>
      </c>
      <c r="S3">
        <v>10.989000000000001</v>
      </c>
    </row>
    <row r="4" spans="1:19" s="77" customFormat="1">
      <c r="A4" s="77" t="s">
        <v>679</v>
      </c>
      <c r="B4" s="78" t="s">
        <v>671</v>
      </c>
      <c r="C4" s="79">
        <v>0.2</v>
      </c>
      <c r="D4" s="79">
        <v>0.2</v>
      </c>
      <c r="E4" s="79">
        <v>0.2</v>
      </c>
      <c r="F4" s="79">
        <v>0.2</v>
      </c>
      <c r="G4" s="79">
        <v>0.2</v>
      </c>
      <c r="H4" s="79">
        <v>0.2</v>
      </c>
      <c r="I4" s="79">
        <v>0.2</v>
      </c>
      <c r="J4" s="79">
        <v>0.2</v>
      </c>
      <c r="K4" s="79">
        <v>0.2</v>
      </c>
      <c r="L4" s="79">
        <v>0.2</v>
      </c>
      <c r="M4" s="79">
        <v>0.2</v>
      </c>
      <c r="N4" s="79">
        <v>0.2</v>
      </c>
      <c r="O4" s="79">
        <v>0.2</v>
      </c>
      <c r="P4" s="79">
        <v>0.2</v>
      </c>
      <c r="Q4" s="79">
        <v>0.2</v>
      </c>
      <c r="R4" s="79">
        <v>0.2</v>
      </c>
      <c r="S4" s="79">
        <v>0.2</v>
      </c>
    </row>
    <row r="5" spans="1:19">
      <c r="B5" s="56" t="s">
        <v>672</v>
      </c>
      <c r="C5" s="68">
        <v>0.2</v>
      </c>
      <c r="D5" s="68">
        <v>0.2</v>
      </c>
      <c r="E5" s="68">
        <v>0.2</v>
      </c>
      <c r="F5" s="68">
        <v>0.2</v>
      </c>
      <c r="G5" s="68">
        <v>0.2</v>
      </c>
      <c r="H5" s="68">
        <v>0.2</v>
      </c>
      <c r="I5" s="68">
        <v>0.2</v>
      </c>
      <c r="J5" s="68">
        <v>0.2</v>
      </c>
      <c r="K5" s="68">
        <v>0.2</v>
      </c>
      <c r="L5" s="68">
        <v>0.2</v>
      </c>
      <c r="M5" s="68">
        <v>0.2</v>
      </c>
      <c r="N5" s="68">
        <v>0.2</v>
      </c>
      <c r="O5" s="68">
        <v>0.2</v>
      </c>
      <c r="P5" s="68">
        <v>0.2</v>
      </c>
      <c r="Q5" s="68">
        <v>0.2</v>
      </c>
      <c r="R5" s="68">
        <v>0.2</v>
      </c>
      <c r="S5" s="68">
        <v>0.2</v>
      </c>
    </row>
    <row r="6" spans="1:19">
      <c r="B6" s="56" t="s">
        <v>673</v>
      </c>
      <c r="C6" s="68">
        <v>3.3000000000000002E-2</v>
      </c>
      <c r="D6" s="68">
        <v>3.3000000000000002E-2</v>
      </c>
      <c r="E6" s="68">
        <v>3.3000000000000002E-2</v>
      </c>
      <c r="F6" s="68">
        <v>3.3000000000000002E-2</v>
      </c>
      <c r="G6" s="68">
        <v>3.3000000000000002E-2</v>
      </c>
      <c r="H6" s="68">
        <v>3.3000000000000002E-2</v>
      </c>
      <c r="I6" s="68">
        <v>3.3000000000000002E-2</v>
      </c>
      <c r="J6" s="68">
        <v>3.3000000000000002E-2</v>
      </c>
      <c r="K6" s="68">
        <v>3.3000000000000002E-2</v>
      </c>
      <c r="L6" s="68">
        <v>3.3000000000000002E-2</v>
      </c>
      <c r="M6" s="68">
        <v>3.3000000000000002E-2</v>
      </c>
      <c r="N6" s="68">
        <v>3.3000000000000002E-2</v>
      </c>
      <c r="O6" s="68">
        <v>3.3000000000000002E-2</v>
      </c>
      <c r="P6" s="68">
        <v>3.3000000000000002E-2</v>
      </c>
      <c r="Q6" s="68">
        <v>3.3000000000000002E-2</v>
      </c>
      <c r="R6" s="68">
        <v>3.3000000000000002E-2</v>
      </c>
      <c r="S6" s="68">
        <v>3.3000000000000002E-2</v>
      </c>
    </row>
    <row r="7" spans="1:19">
      <c r="B7" s="56" t="s">
        <v>674</v>
      </c>
      <c r="C7" s="68">
        <v>3.3000000000000002E-2</v>
      </c>
      <c r="D7" s="68">
        <v>3.3000000000000002E-2</v>
      </c>
      <c r="E7" s="68">
        <v>3.3000000000000002E-2</v>
      </c>
      <c r="F7" s="68">
        <v>3.3000000000000002E-2</v>
      </c>
      <c r="G7" s="68">
        <v>3.3000000000000002E-2</v>
      </c>
      <c r="H7" s="68">
        <v>3.3000000000000002E-2</v>
      </c>
      <c r="I7" s="68">
        <v>3.3000000000000002E-2</v>
      </c>
      <c r="J7" s="68">
        <v>3.3000000000000002E-2</v>
      </c>
      <c r="K7" s="68">
        <v>3.3000000000000002E-2</v>
      </c>
      <c r="L7" s="68">
        <v>3.3000000000000002E-2</v>
      </c>
      <c r="M7" s="68">
        <v>3.3000000000000002E-2</v>
      </c>
      <c r="N7" s="68">
        <v>3.3000000000000002E-2</v>
      </c>
      <c r="O7" s="68">
        <v>3.3000000000000002E-2</v>
      </c>
      <c r="P7" s="68">
        <v>3.3000000000000002E-2</v>
      </c>
      <c r="Q7" s="68">
        <v>3.3000000000000002E-2</v>
      </c>
      <c r="R7" s="68">
        <v>3.3000000000000002E-2</v>
      </c>
      <c r="S7" s="68">
        <v>3.3000000000000002E-2</v>
      </c>
    </row>
    <row r="8" spans="1:19">
      <c r="B8" s="56" t="s">
        <v>675</v>
      </c>
      <c r="C8" s="68">
        <v>3.3000000000000002E-2</v>
      </c>
      <c r="D8" s="68">
        <v>3.3000000000000002E-2</v>
      </c>
      <c r="E8" s="68">
        <v>3.3000000000000002E-2</v>
      </c>
      <c r="F8" s="68">
        <v>3.3000000000000002E-2</v>
      </c>
      <c r="G8" s="68">
        <v>3.3000000000000002E-2</v>
      </c>
      <c r="H8" s="68">
        <v>3.3000000000000002E-2</v>
      </c>
      <c r="I8" s="68">
        <v>3.3000000000000002E-2</v>
      </c>
      <c r="J8" s="68">
        <v>3.3000000000000002E-2</v>
      </c>
      <c r="K8" s="68">
        <v>3.3000000000000002E-2</v>
      </c>
      <c r="L8" s="68">
        <v>3.3000000000000002E-2</v>
      </c>
      <c r="M8" s="68">
        <v>3.3000000000000002E-2</v>
      </c>
      <c r="N8" s="68">
        <v>3.3000000000000002E-2</v>
      </c>
      <c r="O8" s="68">
        <v>3.3000000000000002E-2</v>
      </c>
      <c r="P8" s="68">
        <v>3.3000000000000002E-2</v>
      </c>
      <c r="Q8" s="68">
        <v>3.3000000000000002E-2</v>
      </c>
      <c r="R8" s="68">
        <v>3.3000000000000002E-2</v>
      </c>
      <c r="S8" s="68">
        <v>3.3000000000000002E-2</v>
      </c>
    </row>
    <row r="9" spans="1:19">
      <c r="B9" s="56" t="s">
        <v>122</v>
      </c>
      <c r="C9" s="80">
        <v>0.1</v>
      </c>
      <c r="D9" s="80">
        <v>0.1</v>
      </c>
      <c r="E9" s="80">
        <v>0.1</v>
      </c>
      <c r="F9" s="80">
        <v>0.1</v>
      </c>
      <c r="G9" s="80">
        <v>0.1</v>
      </c>
      <c r="H9" s="80">
        <v>0.1</v>
      </c>
      <c r="I9" s="80">
        <v>0.1</v>
      </c>
      <c r="J9" s="80">
        <v>0.1</v>
      </c>
      <c r="K9" s="80">
        <v>0.1</v>
      </c>
      <c r="L9" s="80">
        <v>0.1</v>
      </c>
      <c r="M9" s="80">
        <v>0.1</v>
      </c>
      <c r="N9" s="80">
        <v>0.1</v>
      </c>
      <c r="O9" s="80">
        <v>0.1</v>
      </c>
      <c r="P9" s="80">
        <v>0.1</v>
      </c>
      <c r="Q9" s="80">
        <v>0.1</v>
      </c>
      <c r="R9" s="80">
        <v>0.1</v>
      </c>
      <c r="S9" s="80">
        <v>0.1</v>
      </c>
    </row>
    <row r="10" spans="1:19" s="77" customFormat="1">
      <c r="A10" s="77" t="s">
        <v>678</v>
      </c>
      <c r="B10" s="78" t="s">
        <v>671</v>
      </c>
      <c r="E10" s="81">
        <f>OverviewResults!I12</f>
        <v>122.57172061275435</v>
      </c>
      <c r="I10" s="81">
        <f>OverviewResults!I18</f>
        <v>45.680254312341454</v>
      </c>
      <c r="M10" s="81">
        <f>OverviewResults!I24</f>
        <v>39.28960160437407</v>
      </c>
    </row>
    <row r="11" spans="1:19">
      <c r="B11" s="56" t="s">
        <v>672</v>
      </c>
      <c r="E11" s="8">
        <f>OverviewResults!I13</f>
        <v>130.51689796522302</v>
      </c>
      <c r="I11" s="8">
        <f>OverviewResults!I19</f>
        <v>53.374531327363769</v>
      </c>
      <c r="M11" s="8">
        <f>OverviewResults!I25</f>
        <v>46.983878619396378</v>
      </c>
    </row>
    <row r="12" spans="1:19">
      <c r="B12" s="56" t="s">
        <v>673</v>
      </c>
      <c r="E12" s="8">
        <f>OverviewResults!I14</f>
        <v>187.98042616994454</v>
      </c>
      <c r="I12" s="8">
        <f>OverviewResults!I20</f>
        <v>83.733577324142431</v>
      </c>
      <c r="M12" s="8">
        <f>OverviewResults!I26</f>
        <v>73.857660475160372</v>
      </c>
    </row>
    <row r="13" spans="1:19">
      <c r="B13" s="56" t="s">
        <v>674</v>
      </c>
      <c r="E13" s="8">
        <f>OverviewResults!I15</f>
        <v>188.52582808638206</v>
      </c>
      <c r="I13" s="8">
        <f>OverviewResults!I21</f>
        <v>82.978287108547519</v>
      </c>
      <c r="M13" s="8">
        <f>OverviewResults!I27</f>
        <v>72.997902978459479</v>
      </c>
    </row>
    <row r="14" spans="1:19">
      <c r="B14" s="56" t="s">
        <v>675</v>
      </c>
      <c r="E14" s="8">
        <f>OverviewResults!I16</f>
        <v>182.09123789996335</v>
      </c>
      <c r="I14" s="8">
        <f>OverviewResults!I22</f>
        <v>71.492896922128836</v>
      </c>
      <c r="M14" s="8">
        <f>OverviewResults!I28</f>
        <v>60.974312792040784</v>
      </c>
    </row>
    <row r="15" spans="1:19">
      <c r="B15" s="56" t="s">
        <v>122</v>
      </c>
      <c r="E15" s="8">
        <f>OverviewResults!I17</f>
        <v>87.716507403827947</v>
      </c>
      <c r="I15" s="8">
        <f>OverviewResults!I23</f>
        <v>67.756429003827947</v>
      </c>
      <c r="M15" s="8">
        <f>OverviewResults!I29</f>
        <v>65.629535403827958</v>
      </c>
    </row>
    <row r="16" spans="1:19" s="77" customFormat="1">
      <c r="A16" s="77" t="s">
        <v>680</v>
      </c>
      <c r="B16" s="78" t="s">
        <v>671</v>
      </c>
      <c r="E16" s="81">
        <f>OverviewResults!I36</f>
        <v>1.0965663634795402</v>
      </c>
      <c r="I16" s="81">
        <f>OverviewResults!I42</f>
        <v>0.74906229941658553</v>
      </c>
      <c r="M16" s="81">
        <f>OverviewResults!I48</f>
        <v>0.69468512736000931</v>
      </c>
    </row>
    <row r="17" spans="1:19">
      <c r="B17" s="56" t="s">
        <v>672</v>
      </c>
      <c r="E17" s="8">
        <f>OverviewResults!I37</f>
        <v>1.0965663634795402</v>
      </c>
      <c r="I17" s="8">
        <f>OverviewResults!I43</f>
        <v>0.74906229941658553</v>
      </c>
      <c r="M17" s="8">
        <f>OverviewResults!I49</f>
        <v>0.69468512736000931</v>
      </c>
    </row>
    <row r="18" spans="1:19">
      <c r="B18" s="56" t="s">
        <v>673</v>
      </c>
      <c r="E18" s="8">
        <f>OverviewResults!I38</f>
        <v>3.1736843969024222</v>
      </c>
      <c r="I18" s="8">
        <f>OverviewResults!I44</f>
        <v>2.787317535180919</v>
      </c>
      <c r="M18" s="8">
        <f>OverviewResults!I50</f>
        <v>2.7327564847857522</v>
      </c>
    </row>
    <row r="19" spans="1:19">
      <c r="B19" s="56" t="s">
        <v>674</v>
      </c>
      <c r="E19" s="8">
        <f>OverviewResults!I39</f>
        <v>2.7976788694512496</v>
      </c>
      <c r="I19" s="8">
        <f>OverviewResults!I45</f>
        <v>2.4196941797737472</v>
      </c>
      <c r="M19" s="8">
        <f>OverviewResults!I51</f>
        <v>2.3651727894123935</v>
      </c>
    </row>
    <row r="20" spans="1:19">
      <c r="B20" s="56" t="s">
        <v>675</v>
      </c>
      <c r="E20" s="8">
        <f>OverviewResults!I40</f>
        <v>2.1218552988723229</v>
      </c>
      <c r="I20" s="8">
        <f>OverviewResults!I46</f>
        <v>1.7743512348093686</v>
      </c>
      <c r="M20" s="8">
        <f>OverviewResults!I52</f>
        <v>1.7199740627527924</v>
      </c>
    </row>
    <row r="21" spans="1:19" s="20" customFormat="1">
      <c r="B21" s="82" t="s">
        <v>122</v>
      </c>
      <c r="E21" s="83">
        <f>OverviewResults!I41</f>
        <v>1.153583771229814</v>
      </c>
      <c r="I21" s="83">
        <f>OverviewResults!I47</f>
        <v>1.1147209735712653</v>
      </c>
      <c r="M21" s="83">
        <f>OverviewResults!I53</f>
        <v>1.1145370952326743</v>
      </c>
    </row>
    <row r="22" spans="1:19">
      <c r="A22" t="s">
        <v>681</v>
      </c>
      <c r="B22" t="s">
        <v>683</v>
      </c>
      <c r="E22" s="8">
        <f>(E10*E4+E11*E5+E12*E6+E13*E7+E14*E8+E15*E9)*E2</f>
        <v>1.6576318531489933</v>
      </c>
      <c r="F22" s="8"/>
      <c r="G22" s="8"/>
      <c r="H22" s="8"/>
      <c r="I22" s="8">
        <f>(I10*I4+I11*I5+I12*I6+I13*I7+I14*I8+I15*I9)*I2</f>
        <v>241.69643672853977</v>
      </c>
      <c r="J22" s="8"/>
      <c r="K22" s="8"/>
      <c r="L22" s="8"/>
      <c r="M22" s="8">
        <f>(M10*M4+M11*M5+M12*M6+M13*M7+M14*M8+M15*M9)*M2</f>
        <v>1166.8857144318088</v>
      </c>
    </row>
    <row r="23" spans="1:19">
      <c r="B23" t="s">
        <v>685</v>
      </c>
      <c r="E23" s="83">
        <f>(E16*E4+E17*E5+E18*E6+E19*E7+E20*E8+E21*E9)*E2</f>
        <v>1.7488602179062535E-2</v>
      </c>
      <c r="F23" s="83"/>
      <c r="G23" s="83"/>
      <c r="H23" s="83"/>
      <c r="I23" s="83">
        <f>(I16*I4+I17*I5+I18*I6+I19*I7+I20*I8+I21*I9)*I2</f>
        <v>4.50089426597106</v>
      </c>
      <c r="J23" s="83"/>
      <c r="K23" s="83"/>
      <c r="L23" s="83"/>
      <c r="M23" s="83">
        <f>(M16*M4+M17*M5+M18*M6+M19*M7+M20*M8+M21*M9)*M2</f>
        <v>23.368064106545667</v>
      </c>
    </row>
    <row r="24" spans="1:19" s="77" customFormat="1">
      <c r="A24" s="77" t="s">
        <v>682</v>
      </c>
      <c r="B24" s="77" t="s">
        <v>683</v>
      </c>
      <c r="E24" s="8">
        <f>(E10*E4+E11*E5+E12*E6+E13*E7+E14*E8+E15*E9)*E3</f>
        <v>0.47472085935252861</v>
      </c>
      <c r="F24" s="8"/>
      <c r="G24" s="8"/>
      <c r="H24" s="8"/>
      <c r="I24" s="8">
        <f>(I10*I4+I11*I5+I12*I6+I13*I7+I14*I8+I15*I9)*I3</f>
        <v>69.056616884684985</v>
      </c>
      <c r="J24" s="8"/>
      <c r="K24" s="8"/>
      <c r="L24" s="8"/>
      <c r="M24" s="8">
        <f>(M10*M4+M11*M5+M12*M6+M13*M7+M14*M8+M15*M9)*M3</f>
        <v>333.39635663816676</v>
      </c>
    </row>
    <row r="25" spans="1:19">
      <c r="B25" t="s">
        <v>685</v>
      </c>
      <c r="E25" s="8">
        <f>(E16*E4+E17*E5+E18*E6+E19*E7+E20*E8+E21*E9)*E3</f>
        <v>5.0084729245202571E-3</v>
      </c>
      <c r="F25" s="8"/>
      <c r="G25" s="8"/>
      <c r="H25" s="8"/>
      <c r="I25" s="8">
        <f>(I16*I4+I17*I5+I18*I6+I19*I7+I20*I8+I21*I9)*I3</f>
        <v>1.2859789543059381</v>
      </c>
      <c r="J25" s="8"/>
      <c r="K25" s="8"/>
      <c r="L25" s="8"/>
      <c r="M25" s="8">
        <f>(M16*M4+M17*M5+M18*M6+M19*M7+M20*M8+M21*M9)*M3</f>
        <v>6.6765985207069125</v>
      </c>
    </row>
    <row r="26" spans="1:19" s="77" customFormat="1">
      <c r="A26" s="77" t="s">
        <v>687</v>
      </c>
      <c r="B26" s="77" t="s">
        <v>686</v>
      </c>
      <c r="C26" s="97">
        <v>107157.50672399999</v>
      </c>
      <c r="D26" s="97">
        <v>133618.79643299998</v>
      </c>
      <c r="E26" s="97">
        <v>165130.59396599999</v>
      </c>
      <c r="F26" s="97">
        <v>201835.74117299999</v>
      </c>
      <c r="G26" s="97">
        <v>243577.60159599999</v>
      </c>
      <c r="H26" s="97">
        <v>290084.04174000002</v>
      </c>
      <c r="I26" s="97">
        <v>340826.80319999997</v>
      </c>
      <c r="J26" s="97">
        <v>395011.93672599999</v>
      </c>
      <c r="K26" s="97">
        <v>451583.06017999997</v>
      </c>
      <c r="L26" s="97">
        <v>509283.86387999996</v>
      </c>
      <c r="M26" s="97">
        <v>566657.55362000002</v>
      </c>
      <c r="N26" s="97">
        <v>622149.87373699993</v>
      </c>
      <c r="O26" s="97">
        <v>674378.07664400002</v>
      </c>
      <c r="P26" s="97">
        <v>722208.83171699999</v>
      </c>
      <c r="Q26" s="97">
        <v>764912.70622399997</v>
      </c>
      <c r="R26" s="97">
        <v>801952.18270799995</v>
      </c>
      <c r="S26" s="97">
        <v>833049.24265199993</v>
      </c>
    </row>
    <row r="27" spans="1:19" s="20" customFormat="1">
      <c r="A27" s="20" t="s">
        <v>689</v>
      </c>
      <c r="B27" s="20" t="s">
        <v>688</v>
      </c>
      <c r="C27" s="98">
        <v>173.27651209040226</v>
      </c>
      <c r="D27" s="98">
        <v>192.33801547559807</v>
      </c>
      <c r="E27" s="98">
        <v>197.35834169180887</v>
      </c>
      <c r="F27" s="98">
        <v>197.5147645072793</v>
      </c>
      <c r="G27" s="98">
        <v>193.87055724332279</v>
      </c>
      <c r="H27" s="98">
        <v>190.31642446013873</v>
      </c>
      <c r="I27" s="98">
        <v>192.37509519603003</v>
      </c>
      <c r="J27" s="98">
        <v>211.11732615217363</v>
      </c>
      <c r="K27" s="98">
        <v>231.45628633071647</v>
      </c>
      <c r="L27" s="98">
        <v>251.95885544982266</v>
      </c>
      <c r="M27" s="98">
        <v>271.66493866106805</v>
      </c>
      <c r="N27" s="98">
        <v>289.87678432362674</v>
      </c>
      <c r="O27" s="98">
        <v>306.15552683418923</v>
      </c>
      <c r="P27" s="98">
        <v>320.31048840671826</v>
      </c>
      <c r="Q27" s="98">
        <v>332.32396915542722</v>
      </c>
      <c r="R27" s="98">
        <v>342.2075033567308</v>
      </c>
      <c r="S27" s="98">
        <v>349.970133030515</v>
      </c>
    </row>
    <row r="28" spans="1:19">
      <c r="A28" t="s">
        <v>684</v>
      </c>
    </row>
    <row r="29" spans="1:19" s="77" customFormat="1">
      <c r="A29" s="77" t="s">
        <v>681</v>
      </c>
      <c r="B29" s="77" t="s">
        <v>690</v>
      </c>
      <c r="E29" s="84">
        <f>E22/E26</f>
        <v>1.0038308549234044E-5</v>
      </c>
      <c r="I29" s="84">
        <f>I22/I26</f>
        <v>7.091473864709822E-4</v>
      </c>
      <c r="M29" s="84">
        <f>M22/M26</f>
        <v>2.059243200725638E-3</v>
      </c>
    </row>
    <row r="30" spans="1:19">
      <c r="B30" t="s">
        <v>691</v>
      </c>
      <c r="E30" s="16">
        <f>E23/E27</f>
        <v>8.8613443086040975E-5</v>
      </c>
      <c r="I30" s="16">
        <f>I23/I27</f>
        <v>2.3396449843908606E-2</v>
      </c>
      <c r="M30" s="16">
        <f>M23/M27</f>
        <v>8.6017961028456089E-2</v>
      </c>
    </row>
    <row r="31" spans="1:19" s="77" customFormat="1">
      <c r="A31" s="77" t="s">
        <v>682</v>
      </c>
      <c r="B31" s="77" t="s">
        <v>690</v>
      </c>
      <c r="E31" s="84">
        <f>E24/E26</f>
        <v>2.874820758231346E-6</v>
      </c>
      <c r="I31" s="84">
        <f>I24/I26</f>
        <v>2.0261498284852321E-4</v>
      </c>
      <c r="M31" s="84">
        <f>M24/M26</f>
        <v>5.8835597356519497E-4</v>
      </c>
    </row>
    <row r="32" spans="1:19">
      <c r="B32" t="s">
        <v>691</v>
      </c>
      <c r="E32" s="16">
        <f>E25/E27</f>
        <v>2.5377558818068077E-5</v>
      </c>
      <c r="I32" s="16">
        <f>I25/I27</f>
        <v>6.6847475916543501E-3</v>
      </c>
      <c r="M32" s="16">
        <f>M25/M27</f>
        <v>2.457659259826939E-2</v>
      </c>
    </row>
    <row r="39" spans="2:7">
      <c r="E39" t="s">
        <v>695</v>
      </c>
      <c r="F39">
        <v>2050</v>
      </c>
      <c r="G39">
        <v>2070</v>
      </c>
    </row>
    <row r="40" spans="2:7">
      <c r="B40" t="s">
        <v>692</v>
      </c>
      <c r="C40" s="101" t="s">
        <v>353</v>
      </c>
      <c r="D40" s="101" t="s">
        <v>683</v>
      </c>
      <c r="E40" t="s">
        <v>694</v>
      </c>
      <c r="F40" s="11">
        <f>I24</f>
        <v>69.056616884684985</v>
      </c>
      <c r="G40" s="11">
        <f>M24</f>
        <v>333.39635663816676</v>
      </c>
    </row>
    <row r="41" spans="2:7">
      <c r="C41" s="101"/>
      <c r="D41" s="101"/>
      <c r="E41" t="s">
        <v>696</v>
      </c>
      <c r="F41" s="11">
        <f>I22</f>
        <v>241.69643672853977</v>
      </c>
      <c r="G41" s="11">
        <f>M22</f>
        <v>1166.8857144318088</v>
      </c>
    </row>
    <row r="42" spans="2:7">
      <c r="C42" s="101"/>
      <c r="D42" s="101" t="s">
        <v>693</v>
      </c>
      <c r="E42" t="s">
        <v>694</v>
      </c>
      <c r="F42" s="85">
        <f>I31</f>
        <v>2.0261498284852321E-4</v>
      </c>
      <c r="G42" s="85">
        <f>M31</f>
        <v>5.8835597356519497E-4</v>
      </c>
    </row>
    <row r="43" spans="2:7">
      <c r="C43" s="101"/>
      <c r="D43" s="101"/>
      <c r="E43" t="s">
        <v>696</v>
      </c>
      <c r="F43" s="85">
        <f>I29</f>
        <v>7.091473864709822E-4</v>
      </c>
      <c r="G43" s="85">
        <f>M29</f>
        <v>2.059243200725638E-3</v>
      </c>
    </row>
    <row r="44" spans="2:7">
      <c r="C44" s="101" t="s">
        <v>595</v>
      </c>
      <c r="D44" s="101" t="s">
        <v>685</v>
      </c>
      <c r="E44" t="s">
        <v>694</v>
      </c>
      <c r="F44" s="11">
        <f>I25</f>
        <v>1.2859789543059381</v>
      </c>
      <c r="G44" s="11">
        <f>M25</f>
        <v>6.6765985207069125</v>
      </c>
    </row>
    <row r="45" spans="2:7">
      <c r="C45" s="101"/>
      <c r="D45" s="101"/>
      <c r="E45" t="s">
        <v>696</v>
      </c>
      <c r="F45" s="11">
        <f>I23</f>
        <v>4.50089426597106</v>
      </c>
      <c r="G45" s="11">
        <f>M23</f>
        <v>23.368064106545667</v>
      </c>
    </row>
    <row r="46" spans="2:7">
      <c r="C46" s="101"/>
      <c r="D46" s="101" t="s">
        <v>697</v>
      </c>
      <c r="E46" t="s">
        <v>694</v>
      </c>
      <c r="F46" s="85">
        <f>I32</f>
        <v>6.6847475916543501E-3</v>
      </c>
      <c r="G46" s="85">
        <f>M32</f>
        <v>2.457659259826939E-2</v>
      </c>
    </row>
    <row r="47" spans="2:7">
      <c r="C47" s="101"/>
      <c r="D47" s="101"/>
      <c r="E47" t="s">
        <v>696</v>
      </c>
      <c r="F47" s="85">
        <f>I30</f>
        <v>2.3396449843908606E-2</v>
      </c>
      <c r="G47" s="85">
        <f>M30</f>
        <v>8.6017961028456089E-2</v>
      </c>
    </row>
  </sheetData>
  <mergeCells count="6">
    <mergeCell ref="D40:D41"/>
    <mergeCell ref="D42:D43"/>
    <mergeCell ref="D44:D45"/>
    <mergeCell ref="D46:D47"/>
    <mergeCell ref="C40:C43"/>
    <mergeCell ref="C44:C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9592A-CFE1-2C49-A554-DC3A636B91B2}">
  <dimension ref="A1:C18"/>
  <sheetViews>
    <sheetView workbookViewId="0">
      <selection activeCell="B4" sqref="B4:C6"/>
    </sheetView>
  </sheetViews>
  <sheetFormatPr defaultColWidth="11.5546875" defaultRowHeight="15"/>
  <sheetData>
    <row r="1" spans="1:3">
      <c r="A1" t="s">
        <v>749</v>
      </c>
    </row>
    <row r="2" spans="1:3">
      <c r="B2" t="s">
        <v>86</v>
      </c>
    </row>
    <row r="3" spans="1:3">
      <c r="B3" t="s">
        <v>14</v>
      </c>
      <c r="C3">
        <f>MININ!L24</f>
        <v>167.56853394382247</v>
      </c>
    </row>
    <row r="4" spans="1:3">
      <c r="B4" s="8">
        <f>0.5*MININ!G10</f>
        <v>18.706592853548063</v>
      </c>
    </row>
    <row r="5" spans="1:3">
      <c r="B5" s="8">
        <f>1*MININ!G10</f>
        <v>37.413185707096126</v>
      </c>
    </row>
    <row r="6" spans="1:3">
      <c r="B6" s="8">
        <f>1.5*MININ!G10</f>
        <v>56.119778560644193</v>
      </c>
    </row>
    <row r="17" spans="1:2">
      <c r="A17" t="s">
        <v>750</v>
      </c>
    </row>
    <row r="18" spans="1:2">
      <c r="B18" t="s">
        <v>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4EF7-EFE0-A74D-9272-45268B94320F}">
  <dimension ref="C11:J108"/>
  <sheetViews>
    <sheetView zoomScale="75" zoomScaleNormal="80" workbookViewId="0">
      <selection activeCell="S103" sqref="S103"/>
    </sheetView>
  </sheetViews>
  <sheetFormatPr defaultColWidth="11.5546875" defaultRowHeight="15"/>
  <sheetData>
    <row r="11" spans="3:9">
      <c r="E11" t="s">
        <v>593</v>
      </c>
      <c r="F11" t="s">
        <v>595</v>
      </c>
      <c r="G11" t="s">
        <v>596</v>
      </c>
      <c r="H11" t="s">
        <v>592</v>
      </c>
      <c r="I11" t="s">
        <v>594</v>
      </c>
    </row>
    <row r="12" spans="3:9">
      <c r="C12" s="102">
        <v>2030</v>
      </c>
      <c r="D12" s="56" t="s">
        <v>671</v>
      </c>
      <c r="E12" s="8">
        <f>MININ!L17</f>
        <v>4.8997256522195336</v>
      </c>
      <c r="F12" s="8">
        <f t="shared" ref="F12:F29" si="0">H12-E12</f>
        <v>2.6291962249517482</v>
      </c>
      <c r="G12" s="8">
        <f>I12-(E12+F12)</f>
        <v>115.04279873558306</v>
      </c>
      <c r="H12" s="8">
        <f>MININ!N21</f>
        <v>7.5289218771712818</v>
      </c>
      <c r="I12" s="8">
        <f>MININ!N24</f>
        <v>122.57172061275435</v>
      </c>
    </row>
    <row r="13" spans="3:9">
      <c r="C13" s="102"/>
      <c r="D13" s="56" t="s">
        <v>672</v>
      </c>
      <c r="E13" s="8">
        <f>MININ!N37</f>
        <v>12.738387229639974</v>
      </c>
      <c r="F13" s="8">
        <f t="shared" si="0"/>
        <v>2.7357119999999995</v>
      </c>
      <c r="G13" s="8">
        <f t="shared" ref="G13:G29" si="1">I13-(E13+F13)</f>
        <v>115.04279873558305</v>
      </c>
      <c r="H13" s="8">
        <f>MININ!N41</f>
        <v>15.474099229639974</v>
      </c>
      <c r="I13" s="57">
        <f>MININ!N44</f>
        <v>130.51689796522302</v>
      </c>
    </row>
    <row r="14" spans="3:9">
      <c r="C14" s="102"/>
      <c r="D14" s="56" t="s">
        <v>673</v>
      </c>
      <c r="E14" s="8">
        <f>MINEX!N17</f>
        <v>40.773429350798999</v>
      </c>
      <c r="F14" s="8">
        <f t="shared" si="0"/>
        <v>32.164198083562475</v>
      </c>
      <c r="G14" s="8">
        <f t="shared" si="1"/>
        <v>115.04279873558306</v>
      </c>
      <c r="H14" s="8">
        <f>MINEX!N21</f>
        <v>72.937627434361474</v>
      </c>
      <c r="I14" s="57">
        <f>MINEX!N26</f>
        <v>187.98042616994454</v>
      </c>
    </row>
    <row r="15" spans="3:9">
      <c r="C15" s="102"/>
      <c r="D15" s="56" t="s">
        <v>674</v>
      </c>
      <c r="E15" s="8">
        <f>MINEX!N43</f>
        <v>40.773429350798999</v>
      </c>
      <c r="F15" s="8">
        <f t="shared" si="0"/>
        <v>32.709600000000002</v>
      </c>
      <c r="G15" s="8">
        <f t="shared" si="1"/>
        <v>115.04279873558306</v>
      </c>
      <c r="H15" s="8">
        <f>MINEX!N47</f>
        <v>73.483029350799001</v>
      </c>
      <c r="I15" s="8">
        <f>MINEX!N52</f>
        <v>188.52582808638206</v>
      </c>
    </row>
    <row r="16" spans="3:9">
      <c r="C16" s="102"/>
      <c r="D16" s="56" t="s">
        <v>675</v>
      </c>
      <c r="E16" s="8">
        <f>MINEX!N70</f>
        <v>25.789739164380308</v>
      </c>
      <c r="F16" s="8">
        <f t="shared" si="0"/>
        <v>41.25869999999999</v>
      </c>
      <c r="G16" s="8">
        <f t="shared" si="1"/>
        <v>115.04279873558305</v>
      </c>
      <c r="H16" s="8">
        <f>MINEX!N74</f>
        <v>67.048439164380298</v>
      </c>
      <c r="I16" s="57">
        <f>MINEX!N79</f>
        <v>182.09123789996335</v>
      </c>
    </row>
    <row r="17" spans="3:9">
      <c r="C17" s="102"/>
      <c r="D17" s="56" t="s">
        <v>122</v>
      </c>
      <c r="E17" s="8">
        <f>EW!N17</f>
        <v>87.716507403827947</v>
      </c>
      <c r="F17" s="8">
        <f t="shared" si="0"/>
        <v>0</v>
      </c>
      <c r="G17" s="8">
        <f t="shared" si="1"/>
        <v>0</v>
      </c>
      <c r="H17" s="8">
        <f>EW!N21</f>
        <v>87.716507403827947</v>
      </c>
      <c r="I17" s="57">
        <f>H17</f>
        <v>87.716507403827947</v>
      </c>
    </row>
    <row r="18" spans="3:9">
      <c r="C18" s="102">
        <v>2050</v>
      </c>
      <c r="D18" s="56" t="s">
        <v>671</v>
      </c>
      <c r="E18" s="8">
        <f>MININ!R17</f>
        <v>4.6418453547342953</v>
      </c>
      <c r="F18" s="8">
        <f t="shared" si="0"/>
        <v>1.1559600000000003</v>
      </c>
      <c r="G18" s="8">
        <f t="shared" si="1"/>
        <v>39.88244895760716</v>
      </c>
      <c r="H18" s="8">
        <f>MININ!R21</f>
        <v>5.7978053547342956</v>
      </c>
      <c r="I18" s="8">
        <f>MININ!R24</f>
        <v>45.680254312341454</v>
      </c>
    </row>
    <row r="19" spans="3:9">
      <c r="C19" s="102"/>
      <c r="D19" s="56" t="s">
        <v>672</v>
      </c>
      <c r="E19" s="8">
        <f>MININ!R37</f>
        <v>12.336122369756609</v>
      </c>
      <c r="F19" s="8">
        <f t="shared" si="0"/>
        <v>1.1559600000000003</v>
      </c>
      <c r="G19" s="8">
        <f t="shared" si="1"/>
        <v>39.88244895760716</v>
      </c>
      <c r="H19" s="8">
        <f>MININ!R41</f>
        <v>13.492082369756609</v>
      </c>
      <c r="I19" s="57">
        <f>MININ!R44</f>
        <v>53.374531327363769</v>
      </c>
    </row>
    <row r="20" spans="3:9">
      <c r="C20" s="102"/>
      <c r="D20" s="56" t="s">
        <v>673</v>
      </c>
      <c r="E20" s="8">
        <f>MINEX!R17</f>
        <v>29.711038150940368</v>
      </c>
      <c r="F20" s="8">
        <f t="shared" si="0"/>
        <v>14.14009021559491</v>
      </c>
      <c r="G20" s="8">
        <f t="shared" si="1"/>
        <v>39.882448957607153</v>
      </c>
      <c r="H20" s="8">
        <f>MINEX!R21</f>
        <v>43.851128366535278</v>
      </c>
      <c r="I20" s="57">
        <f>MINEX!R26</f>
        <v>83.733577324142431</v>
      </c>
    </row>
    <row r="21" spans="3:9">
      <c r="C21" s="102"/>
      <c r="D21" s="56" t="s">
        <v>674</v>
      </c>
      <c r="E21" s="8">
        <f>MINEX!R43</f>
        <v>29.711038150940368</v>
      </c>
      <c r="F21" s="8">
        <f t="shared" si="0"/>
        <v>13.384799999999991</v>
      </c>
      <c r="G21" s="8">
        <f t="shared" si="1"/>
        <v>39.88244895760716</v>
      </c>
      <c r="H21" s="8">
        <f>MINEX!R47</f>
        <v>43.095838150940359</v>
      </c>
      <c r="I21" s="8">
        <f>MINEX!R52</f>
        <v>82.978287108547519</v>
      </c>
    </row>
    <row r="22" spans="3:9">
      <c r="C22" s="102"/>
      <c r="D22" s="56" t="s">
        <v>675</v>
      </c>
      <c r="E22" s="8">
        <f>MINEX!R70</f>
        <v>14.727347964521678</v>
      </c>
      <c r="F22" s="8">
        <f t="shared" si="0"/>
        <v>16.883099999999999</v>
      </c>
      <c r="G22" s="8">
        <f t="shared" si="1"/>
        <v>39.88244895760716</v>
      </c>
      <c r="H22" s="8">
        <f>MINEX!R74</f>
        <v>31.610447964521679</v>
      </c>
      <c r="I22" s="57">
        <f>MINEX!R79</f>
        <v>71.492896922128836</v>
      </c>
    </row>
    <row r="23" spans="3:9">
      <c r="C23" s="102"/>
      <c r="D23" s="56" t="s">
        <v>122</v>
      </c>
      <c r="E23" s="8">
        <f>EW!R17</f>
        <v>67.756429003827947</v>
      </c>
      <c r="F23" s="8">
        <f t="shared" si="0"/>
        <v>0</v>
      </c>
      <c r="G23" s="8">
        <f t="shared" si="1"/>
        <v>0</v>
      </c>
      <c r="H23" s="8">
        <f>EW!R21</f>
        <v>67.756429003827947</v>
      </c>
      <c r="I23" s="57">
        <f>H23</f>
        <v>67.756429003827947</v>
      </c>
    </row>
    <row r="24" spans="3:9">
      <c r="C24" s="102">
        <v>2070</v>
      </c>
      <c r="D24" s="56" t="s">
        <v>671</v>
      </c>
      <c r="E24" s="8">
        <f>MININ!V17</f>
        <v>4.6418453547342953</v>
      </c>
      <c r="F24" s="8">
        <f t="shared" si="0"/>
        <v>0.97811999999999966</v>
      </c>
      <c r="G24" s="8">
        <f t="shared" si="1"/>
        <v>33.669636249639773</v>
      </c>
      <c r="H24" s="8">
        <f>MININ!V21</f>
        <v>5.6199653547342949</v>
      </c>
      <c r="I24" s="8">
        <f>MININ!V24</f>
        <v>39.28960160437407</v>
      </c>
    </row>
    <row r="25" spans="3:9">
      <c r="C25" s="102"/>
      <c r="D25" s="56" t="s">
        <v>672</v>
      </c>
      <c r="E25" s="8">
        <f>MININ!V37</f>
        <v>12.336122369756609</v>
      </c>
      <c r="F25" s="8">
        <f t="shared" si="0"/>
        <v>0.97812000000000054</v>
      </c>
      <c r="G25" s="8">
        <f t="shared" si="1"/>
        <v>33.669636249639765</v>
      </c>
      <c r="H25" s="8">
        <f>MININ!V41</f>
        <v>13.314242369756609</v>
      </c>
      <c r="I25" s="57">
        <f>MININ!V44</f>
        <v>46.983878619396378</v>
      </c>
    </row>
    <row r="26" spans="3:9">
      <c r="C26" s="102"/>
      <c r="D26" s="56" t="s">
        <v>673</v>
      </c>
      <c r="E26" s="8">
        <f>MINEX!V17</f>
        <v>28.002666728819705</v>
      </c>
      <c r="F26" s="8">
        <f t="shared" si="0"/>
        <v>12.185357496700902</v>
      </c>
      <c r="G26" s="8">
        <f t="shared" si="1"/>
        <v>33.669636249639765</v>
      </c>
      <c r="H26" s="8">
        <f>MINEX!V21</f>
        <v>40.188024225520607</v>
      </c>
      <c r="I26" s="57">
        <f>MINEX!V26</f>
        <v>73.857660475160372</v>
      </c>
    </row>
    <row r="27" spans="3:9">
      <c r="C27" s="102"/>
      <c r="D27" s="56" t="s">
        <v>674</v>
      </c>
      <c r="E27" s="8">
        <f>MINEX!V43</f>
        <v>28.002666728819705</v>
      </c>
      <c r="F27" s="8">
        <f t="shared" si="0"/>
        <v>11.325600000000001</v>
      </c>
      <c r="G27" s="8">
        <f t="shared" si="1"/>
        <v>33.669636249639773</v>
      </c>
      <c r="H27" s="8">
        <f>MINEX!V47</f>
        <v>39.328266728819706</v>
      </c>
      <c r="I27" s="8">
        <f>MINEX!V52</f>
        <v>72.997902978459479</v>
      </c>
    </row>
    <row r="28" spans="3:9">
      <c r="C28" s="102"/>
      <c r="D28" s="56" t="s">
        <v>675</v>
      </c>
      <c r="E28" s="8">
        <f>MINEX!V70</f>
        <v>13.018976542401012</v>
      </c>
      <c r="F28" s="8">
        <f t="shared" si="0"/>
        <v>14.2857</v>
      </c>
      <c r="G28" s="8">
        <f t="shared" si="1"/>
        <v>33.669636249639773</v>
      </c>
      <c r="H28" s="8">
        <f>MINEX!V74</f>
        <v>27.304676542401012</v>
      </c>
      <c r="I28" s="8">
        <f>MINEX!V79</f>
        <v>60.974312792040784</v>
      </c>
    </row>
    <row r="29" spans="3:9">
      <c r="C29" s="102"/>
      <c r="D29" s="56" t="s">
        <v>122</v>
      </c>
      <c r="E29" s="8">
        <f>EW!V17</f>
        <v>65.629535403827958</v>
      </c>
      <c r="F29" s="8">
        <f t="shared" si="0"/>
        <v>0</v>
      </c>
      <c r="G29" s="8">
        <f t="shared" si="1"/>
        <v>0</v>
      </c>
      <c r="H29" s="8">
        <f>EW!V21</f>
        <v>65.629535403827958</v>
      </c>
      <c r="I29" s="8">
        <f>H29</f>
        <v>65.629535403827958</v>
      </c>
    </row>
    <row r="34" spans="3:9">
      <c r="C34" t="s">
        <v>606</v>
      </c>
    </row>
    <row r="35" spans="3:9">
      <c r="E35" t="s">
        <v>637</v>
      </c>
      <c r="F35" t="s">
        <v>638</v>
      </c>
      <c r="G35" t="s">
        <v>596</v>
      </c>
      <c r="H35" t="s">
        <v>650</v>
      </c>
      <c r="I35" t="s">
        <v>635</v>
      </c>
    </row>
    <row r="36" spans="3:9">
      <c r="C36" s="102">
        <v>2030</v>
      </c>
      <c r="D36" s="56" t="s">
        <v>671</v>
      </c>
      <c r="E36" s="8">
        <v>0</v>
      </c>
      <c r="F36" s="8">
        <f>MININ!G18*1000/H36</f>
        <v>79.634092069342387</v>
      </c>
      <c r="G36" s="8">
        <f>(DAC!N29+DAC!N30/'Heat Pump'!N15)/H36</f>
        <v>1016.9322714101978</v>
      </c>
      <c r="H36" s="16">
        <v>0.90413537881872375</v>
      </c>
      <c r="I36" s="8">
        <f>SUM(E36:G36)/1000</f>
        <v>1.0965663634795402</v>
      </c>
    </row>
    <row r="37" spans="3:9">
      <c r="C37" s="102"/>
      <c r="D37" s="56" t="s">
        <v>672</v>
      </c>
      <c r="E37" s="8">
        <v>0</v>
      </c>
      <c r="F37" s="8">
        <f>MININ!G38*1000/H37</f>
        <v>79.634092069342387</v>
      </c>
      <c r="G37" s="8">
        <f>G36</f>
        <v>1016.9322714101978</v>
      </c>
      <c r="H37" s="16">
        <v>0.90413537881872375</v>
      </c>
      <c r="I37" s="8">
        <f t="shared" ref="I37:I53" si="2">SUM(E37:G37)/1000</f>
        <v>1.0965663634795402</v>
      </c>
    </row>
    <row r="38" spans="3:9">
      <c r="C38" s="102"/>
      <c r="D38" s="56" t="s">
        <v>673</v>
      </c>
      <c r="E38" s="8">
        <f>D92/H38</f>
        <v>1153.5837712298141</v>
      </c>
      <c r="F38" s="8">
        <f>(MINEX!G18+MINEX!G19)/H38*1000</f>
        <v>1003.1683542624104</v>
      </c>
      <c r="G38" s="8">
        <f t="shared" ref="G38:G40" si="3">G37</f>
        <v>1016.9322714101978</v>
      </c>
      <c r="H38" s="16">
        <v>0.90413537881872375</v>
      </c>
      <c r="I38" s="8">
        <f t="shared" si="2"/>
        <v>3.1736843969024222</v>
      </c>
    </row>
    <row r="39" spans="3:9">
      <c r="C39" s="102"/>
      <c r="D39" s="56" t="s">
        <v>674</v>
      </c>
      <c r="E39" s="8">
        <f>D93/H39</f>
        <v>904.77158527828567</v>
      </c>
      <c r="F39" s="8">
        <f>(MINEX!G44+MINEX!G45)/H39*1000</f>
        <v>875.97501276276614</v>
      </c>
      <c r="G39" s="8">
        <f t="shared" si="3"/>
        <v>1016.9322714101978</v>
      </c>
      <c r="H39" s="16">
        <v>0.90413537881872375</v>
      </c>
      <c r="I39" s="8">
        <f t="shared" si="2"/>
        <v>2.7976788694512496</v>
      </c>
    </row>
    <row r="40" spans="3:9">
      <c r="C40" s="102"/>
      <c r="D40" s="56" t="s">
        <v>675</v>
      </c>
      <c r="E40" s="8">
        <v>0</v>
      </c>
      <c r="F40" s="8">
        <f>(MINEX!G71+MINEX!G72)/H40*1000</f>
        <v>1104.9230274621254</v>
      </c>
      <c r="G40" s="8">
        <f t="shared" si="3"/>
        <v>1016.9322714101978</v>
      </c>
      <c r="H40" s="16">
        <v>0.90413537881872375</v>
      </c>
      <c r="I40" s="8">
        <f t="shared" si="2"/>
        <v>2.1218552988723229</v>
      </c>
    </row>
    <row r="41" spans="3:9">
      <c r="C41" s="102"/>
      <c r="D41" s="56" t="s">
        <v>122</v>
      </c>
      <c r="E41" s="8">
        <f>E38</f>
        <v>1153.5837712298141</v>
      </c>
      <c r="F41" s="8">
        <v>0</v>
      </c>
      <c r="G41" s="8">
        <v>0</v>
      </c>
      <c r="H41" s="16">
        <v>0.90413537881872375</v>
      </c>
      <c r="I41" s="8">
        <f t="shared" si="2"/>
        <v>1.153583771229814</v>
      </c>
    </row>
    <row r="42" spans="3:9">
      <c r="C42" s="102">
        <v>2050</v>
      </c>
      <c r="D42" s="56" t="s">
        <v>671</v>
      </c>
      <c r="E42" s="8">
        <v>0</v>
      </c>
      <c r="F42" s="8">
        <f>F36</f>
        <v>79.634092069342387</v>
      </c>
      <c r="G42" s="8">
        <f>(DAC!R29+DAC!R30/'Heat Pump'!R15)/H42</f>
        <v>669.42820734724319</v>
      </c>
      <c r="H42" s="16">
        <v>0.93565647792426687</v>
      </c>
      <c r="I42" s="8">
        <f t="shared" si="2"/>
        <v>0.74906229941658553</v>
      </c>
    </row>
    <row r="43" spans="3:9">
      <c r="C43" s="102"/>
      <c r="D43" s="56" t="s">
        <v>672</v>
      </c>
      <c r="E43" s="8">
        <v>0</v>
      </c>
      <c r="F43" s="8">
        <f t="shared" ref="F43:F46" si="4">F37</f>
        <v>79.634092069342387</v>
      </c>
      <c r="G43" s="8">
        <f>G42</f>
        <v>669.42820734724319</v>
      </c>
      <c r="H43" s="16">
        <v>0.93565647792426687</v>
      </c>
      <c r="I43" s="8">
        <f t="shared" si="2"/>
        <v>0.74906229941658553</v>
      </c>
    </row>
    <row r="44" spans="3:9">
      <c r="C44" s="102"/>
      <c r="D44" s="56" t="s">
        <v>673</v>
      </c>
      <c r="E44" s="8">
        <f>D92/H44</f>
        <v>1114.7209735712654</v>
      </c>
      <c r="F44" s="8">
        <f t="shared" si="4"/>
        <v>1003.1683542624104</v>
      </c>
      <c r="G44" s="8">
        <f t="shared" ref="G44:G46" si="5">G43</f>
        <v>669.42820734724319</v>
      </c>
      <c r="H44" s="16">
        <v>0.93565647792426687</v>
      </c>
      <c r="I44" s="8">
        <f t="shared" si="2"/>
        <v>2.787317535180919</v>
      </c>
    </row>
    <row r="45" spans="3:9">
      <c r="C45" s="102"/>
      <c r="D45" s="56" t="s">
        <v>674</v>
      </c>
      <c r="E45" s="8">
        <f>D93/H45</f>
        <v>874.29095966373768</v>
      </c>
      <c r="F45" s="8">
        <f t="shared" si="4"/>
        <v>875.97501276276614</v>
      </c>
      <c r="G45" s="8">
        <f t="shared" si="5"/>
        <v>669.42820734724319</v>
      </c>
      <c r="H45" s="16">
        <v>0.93565647792426687</v>
      </c>
      <c r="I45" s="8">
        <f t="shared" si="2"/>
        <v>2.4196941797737472</v>
      </c>
    </row>
    <row r="46" spans="3:9">
      <c r="C46" s="102"/>
      <c r="D46" s="56" t="s">
        <v>675</v>
      </c>
      <c r="E46" s="8">
        <f t="shared" ref="E46" si="6">E40</f>
        <v>0</v>
      </c>
      <c r="F46" s="8">
        <f t="shared" si="4"/>
        <v>1104.9230274621254</v>
      </c>
      <c r="G46" s="8">
        <f t="shared" si="5"/>
        <v>669.42820734724319</v>
      </c>
      <c r="H46" s="16">
        <v>0.93565647792426687</v>
      </c>
      <c r="I46" s="8">
        <f t="shared" si="2"/>
        <v>1.7743512348093686</v>
      </c>
    </row>
    <row r="47" spans="3:9">
      <c r="C47" s="102"/>
      <c r="D47" s="56" t="s">
        <v>122</v>
      </c>
      <c r="E47" s="8">
        <f>E44</f>
        <v>1114.7209735712654</v>
      </c>
      <c r="F47" s="8">
        <v>0</v>
      </c>
      <c r="G47" s="8">
        <v>0</v>
      </c>
      <c r="H47" s="16">
        <v>0.93565647792426687</v>
      </c>
      <c r="I47" s="8">
        <f t="shared" si="2"/>
        <v>1.1147209735712653</v>
      </c>
    </row>
    <row r="48" spans="3:9">
      <c r="C48" s="102">
        <v>2070</v>
      </c>
      <c r="D48" s="56" t="s">
        <v>671</v>
      </c>
      <c r="E48" s="8">
        <v>0</v>
      </c>
      <c r="F48" s="8">
        <f>F42</f>
        <v>79.634092069342387</v>
      </c>
      <c r="G48" s="8">
        <f>(DAC!V29+DAC!V30/'Heat Pump'!V15)/H48</f>
        <v>615.05103529066696</v>
      </c>
      <c r="H48" s="16">
        <v>0.9358108442162355</v>
      </c>
      <c r="I48" s="8">
        <f t="shared" si="2"/>
        <v>0.69468512736000931</v>
      </c>
    </row>
    <row r="49" spans="3:9">
      <c r="C49" s="102"/>
      <c r="D49" s="56" t="s">
        <v>672</v>
      </c>
      <c r="E49" s="8">
        <v>0</v>
      </c>
      <c r="F49" s="8">
        <f t="shared" ref="F49:F52" si="7">F43</f>
        <v>79.634092069342387</v>
      </c>
      <c r="G49" s="8">
        <f>G48</f>
        <v>615.05103529066696</v>
      </c>
      <c r="H49" s="16">
        <v>0.9358108442162355</v>
      </c>
      <c r="I49" s="8">
        <f t="shared" si="2"/>
        <v>0.69468512736000931</v>
      </c>
    </row>
    <row r="50" spans="3:9">
      <c r="C50" s="102"/>
      <c r="D50" s="56" t="s">
        <v>673</v>
      </c>
      <c r="E50" s="8">
        <f>D92/H50</f>
        <v>1114.5370952326743</v>
      </c>
      <c r="F50" s="8">
        <f t="shared" si="7"/>
        <v>1003.1683542624104</v>
      </c>
      <c r="G50" s="8">
        <f t="shared" ref="G50:G52" si="8">G49</f>
        <v>615.05103529066696</v>
      </c>
      <c r="H50" s="16">
        <v>0.9358108442162355</v>
      </c>
      <c r="I50" s="8">
        <f t="shared" si="2"/>
        <v>2.7327564847857522</v>
      </c>
    </row>
    <row r="51" spans="3:9">
      <c r="C51" s="102"/>
      <c r="D51" s="56" t="s">
        <v>674</v>
      </c>
      <c r="E51" s="8">
        <f>D93/H51</f>
        <v>874.14674135896041</v>
      </c>
      <c r="F51" s="8">
        <f t="shared" si="7"/>
        <v>875.97501276276614</v>
      </c>
      <c r="G51" s="8">
        <f t="shared" si="8"/>
        <v>615.05103529066696</v>
      </c>
      <c r="H51" s="16">
        <v>0.9358108442162355</v>
      </c>
      <c r="I51" s="8">
        <f t="shared" si="2"/>
        <v>2.3651727894123935</v>
      </c>
    </row>
    <row r="52" spans="3:9">
      <c r="C52" s="102"/>
      <c r="D52" s="56" t="s">
        <v>675</v>
      </c>
      <c r="E52" s="8">
        <f t="shared" ref="E52" si="9">E46</f>
        <v>0</v>
      </c>
      <c r="F52" s="8">
        <f t="shared" si="7"/>
        <v>1104.9230274621254</v>
      </c>
      <c r="G52" s="8">
        <f t="shared" si="8"/>
        <v>615.05103529066696</v>
      </c>
      <c r="H52" s="16">
        <v>0.9358108442162355</v>
      </c>
      <c r="I52" s="8">
        <f t="shared" si="2"/>
        <v>1.7199740627527924</v>
      </c>
    </row>
    <row r="53" spans="3:9">
      <c r="C53" s="102"/>
      <c r="D53" s="56" t="s">
        <v>122</v>
      </c>
      <c r="E53" s="8">
        <f>E50</f>
        <v>1114.5370952326743</v>
      </c>
      <c r="F53" s="8">
        <v>0</v>
      </c>
      <c r="G53" s="8">
        <v>0</v>
      </c>
      <c r="H53" s="16">
        <v>0.9358108442162355</v>
      </c>
      <c r="I53" s="8">
        <f t="shared" si="2"/>
        <v>1.1145370952326743</v>
      </c>
    </row>
    <row r="59" spans="3:9">
      <c r="C59" t="s">
        <v>641</v>
      </c>
      <c r="E59" t="s">
        <v>639</v>
      </c>
      <c r="F59" t="s">
        <v>640</v>
      </c>
      <c r="G59" t="s">
        <v>110</v>
      </c>
      <c r="H59" t="s">
        <v>240</v>
      </c>
    </row>
    <row r="60" spans="3:9">
      <c r="C60" s="102">
        <v>2030</v>
      </c>
      <c r="D60" s="56" t="s">
        <v>671</v>
      </c>
      <c r="E60" s="8">
        <f>(MININ!E19+DAC!N19)*1000</f>
        <v>1500</v>
      </c>
      <c r="F60" s="8">
        <v>0</v>
      </c>
      <c r="G60" s="8">
        <f>(MININ!E18+DAC!N18)*1000</f>
        <v>297</v>
      </c>
      <c r="H60" s="8">
        <f>SUM(E60:G60)/1000</f>
        <v>1.7969999999999999</v>
      </c>
    </row>
    <row r="61" spans="3:9">
      <c r="C61" s="102"/>
      <c r="D61" s="56" t="s">
        <v>672</v>
      </c>
      <c r="E61" s="8">
        <f>E60</f>
        <v>1500</v>
      </c>
      <c r="F61" s="8">
        <v>0</v>
      </c>
      <c r="G61" s="8">
        <f>G60</f>
        <v>297</v>
      </c>
      <c r="H61" s="8">
        <f t="shared" ref="H61:H77" si="10">SUM(E61:G61)/1000</f>
        <v>1.7969999999999999</v>
      </c>
    </row>
    <row r="62" spans="3:9">
      <c r="C62" s="102"/>
      <c r="D62" s="56" t="s">
        <v>673</v>
      </c>
      <c r="E62" s="8">
        <f>DAC!N19*1000</f>
        <v>1500</v>
      </c>
      <c r="F62" s="8">
        <f>MINEX!E19</f>
        <v>452</v>
      </c>
      <c r="G62" s="8">
        <f>MINEX!E18+DAC!N18*1000+D92</f>
        <v>1722.9958999999999</v>
      </c>
      <c r="H62" s="8">
        <f t="shared" si="10"/>
        <v>3.6749958999999999</v>
      </c>
    </row>
    <row r="63" spans="3:9">
      <c r="C63" s="102"/>
      <c r="D63" s="56" t="s">
        <v>674</v>
      </c>
      <c r="E63" s="8">
        <f>DAC!N19*1000</f>
        <v>1500</v>
      </c>
      <c r="F63" s="8">
        <f>MINEX!E45</f>
        <v>103</v>
      </c>
      <c r="G63" s="8">
        <f>MINEX!E44+DAC!N18*1000+D93</f>
        <v>1732.0360000000001</v>
      </c>
      <c r="H63" s="8">
        <f t="shared" si="10"/>
        <v>3.3350360000000001</v>
      </c>
    </row>
    <row r="64" spans="3:9">
      <c r="C64" s="102"/>
      <c r="D64" s="56" t="s">
        <v>675</v>
      </c>
      <c r="E64" s="8">
        <f>DAC!N19*1000</f>
        <v>1500</v>
      </c>
      <c r="F64" s="8">
        <f>MINEX!E72</f>
        <v>407</v>
      </c>
      <c r="G64" s="8">
        <f>MINEX!E71+DAC!N18*1000</f>
        <v>817</v>
      </c>
      <c r="H64" s="8">
        <f t="shared" si="10"/>
        <v>2.7240000000000002</v>
      </c>
    </row>
    <row r="65" spans="3:8">
      <c r="C65" s="102"/>
      <c r="D65" s="56" t="s">
        <v>122</v>
      </c>
      <c r="E65" s="8">
        <v>0</v>
      </c>
      <c r="F65" s="8">
        <v>0</v>
      </c>
      <c r="G65" s="8">
        <f>D92</f>
        <v>1042.9958999999999</v>
      </c>
      <c r="H65" s="8">
        <f t="shared" si="10"/>
        <v>1.0429959</v>
      </c>
    </row>
    <row r="66" spans="3:8">
      <c r="C66" s="102">
        <v>2050</v>
      </c>
      <c r="D66" s="56" t="s">
        <v>671</v>
      </c>
      <c r="E66" s="8">
        <f>DAC!R19*1000</f>
        <v>1102</v>
      </c>
      <c r="F66" s="8">
        <v>0</v>
      </c>
      <c r="G66" s="8">
        <f>MININ!E18*1000+DAC!R18*1000</f>
        <v>254</v>
      </c>
      <c r="H66" s="8">
        <f t="shared" si="10"/>
        <v>1.3560000000000001</v>
      </c>
    </row>
    <row r="67" spans="3:8">
      <c r="C67" s="102"/>
      <c r="D67" s="56" t="s">
        <v>672</v>
      </c>
      <c r="E67" s="8">
        <f>E66</f>
        <v>1102</v>
      </c>
      <c r="F67" s="8">
        <v>0</v>
      </c>
      <c r="G67" s="8">
        <f>G66</f>
        <v>254</v>
      </c>
      <c r="H67" s="8">
        <f t="shared" si="10"/>
        <v>1.3560000000000001</v>
      </c>
    </row>
    <row r="68" spans="3:8">
      <c r="C68" s="102"/>
      <c r="D68" s="56" t="s">
        <v>673</v>
      </c>
      <c r="E68" s="8">
        <f t="shared" ref="E68:E70" si="11">E67</f>
        <v>1102</v>
      </c>
      <c r="F68" s="8">
        <f>F62</f>
        <v>452</v>
      </c>
      <c r="G68" s="8">
        <f>MINEX!E18+DAC!R18*1000+D92</f>
        <v>1679.9958999999999</v>
      </c>
      <c r="H68" s="8">
        <f t="shared" si="10"/>
        <v>3.2339959</v>
      </c>
    </row>
    <row r="69" spans="3:8">
      <c r="C69" s="102"/>
      <c r="D69" s="56" t="s">
        <v>674</v>
      </c>
      <c r="E69" s="8">
        <f t="shared" si="11"/>
        <v>1102</v>
      </c>
      <c r="F69" s="8">
        <f t="shared" ref="F69:F70" si="12">F63</f>
        <v>103</v>
      </c>
      <c r="G69" s="8">
        <f>MINEX!E44+DAC!R18*1000+D93</f>
        <v>1689.0360000000001</v>
      </c>
      <c r="H69" s="8">
        <f t="shared" si="10"/>
        <v>2.8940360000000003</v>
      </c>
    </row>
    <row r="70" spans="3:8">
      <c r="C70" s="102"/>
      <c r="D70" s="56" t="s">
        <v>675</v>
      </c>
      <c r="E70" s="8">
        <f t="shared" si="11"/>
        <v>1102</v>
      </c>
      <c r="F70" s="8">
        <f t="shared" si="12"/>
        <v>407</v>
      </c>
      <c r="G70" s="8">
        <f>MINEX!E71+DAC!R18*1000</f>
        <v>774</v>
      </c>
      <c r="H70" s="8">
        <f t="shared" si="10"/>
        <v>2.2829999999999999</v>
      </c>
    </row>
    <row r="71" spans="3:8">
      <c r="C71" s="102"/>
      <c r="D71" s="56" t="s">
        <v>122</v>
      </c>
      <c r="E71" s="8">
        <v>0</v>
      </c>
      <c r="F71" s="8">
        <v>0</v>
      </c>
      <c r="G71" s="8">
        <f>D92</f>
        <v>1042.9958999999999</v>
      </c>
      <c r="H71" s="8">
        <f t="shared" si="10"/>
        <v>1.0429959</v>
      </c>
    </row>
    <row r="72" spans="3:8">
      <c r="C72" s="102">
        <v>2070</v>
      </c>
      <c r="D72" s="56" t="s">
        <v>671</v>
      </c>
      <c r="E72" s="8">
        <f>DAC!V19*1000</f>
        <v>1102</v>
      </c>
      <c r="F72" s="8">
        <f>F66</f>
        <v>0</v>
      </c>
      <c r="G72" s="8">
        <f>(MININ!E18+DAC!V18)*1000</f>
        <v>254</v>
      </c>
      <c r="H72" s="8">
        <f t="shared" si="10"/>
        <v>1.3560000000000001</v>
      </c>
    </row>
    <row r="73" spans="3:8">
      <c r="C73" s="102"/>
      <c r="D73" s="56" t="s">
        <v>672</v>
      </c>
      <c r="E73" s="8">
        <f>E72</f>
        <v>1102</v>
      </c>
      <c r="F73" s="8">
        <f t="shared" ref="F73:G77" si="13">F67</f>
        <v>0</v>
      </c>
      <c r="G73" s="8">
        <f>G72</f>
        <v>254</v>
      </c>
      <c r="H73" s="8">
        <f t="shared" si="10"/>
        <v>1.3560000000000001</v>
      </c>
    </row>
    <row r="74" spans="3:8">
      <c r="C74" s="102"/>
      <c r="D74" s="56" t="s">
        <v>673</v>
      </c>
      <c r="E74" s="8">
        <f t="shared" ref="E74:E76" si="14">E73</f>
        <v>1102</v>
      </c>
      <c r="F74" s="8">
        <f t="shared" si="13"/>
        <v>452</v>
      </c>
      <c r="G74" s="8">
        <f>G68</f>
        <v>1679.9958999999999</v>
      </c>
      <c r="H74" s="8">
        <f t="shared" si="10"/>
        <v>3.2339959</v>
      </c>
    </row>
    <row r="75" spans="3:8">
      <c r="C75" s="102"/>
      <c r="D75" s="56" t="s">
        <v>674</v>
      </c>
      <c r="E75" s="8">
        <f t="shared" si="14"/>
        <v>1102</v>
      </c>
      <c r="F75" s="8">
        <f t="shared" si="13"/>
        <v>103</v>
      </c>
      <c r="G75" s="8">
        <f t="shared" si="13"/>
        <v>1689.0360000000001</v>
      </c>
      <c r="H75" s="8">
        <f t="shared" si="10"/>
        <v>2.8940360000000003</v>
      </c>
    </row>
    <row r="76" spans="3:8">
      <c r="C76" s="102"/>
      <c r="D76" s="56" t="s">
        <v>675</v>
      </c>
      <c r="E76" s="8">
        <f t="shared" si="14"/>
        <v>1102</v>
      </c>
      <c r="F76" s="8">
        <f t="shared" si="13"/>
        <v>407</v>
      </c>
      <c r="G76" s="8">
        <f t="shared" si="13"/>
        <v>774</v>
      </c>
      <c r="H76" s="8">
        <f t="shared" si="10"/>
        <v>2.2829999999999999</v>
      </c>
    </row>
    <row r="77" spans="3:8">
      <c r="C77" s="102"/>
      <c r="D77" s="56" t="s">
        <v>122</v>
      </c>
      <c r="E77" s="8">
        <v>0</v>
      </c>
      <c r="F77" s="8">
        <f t="shared" si="13"/>
        <v>0</v>
      </c>
      <c r="G77" s="8">
        <f t="shared" si="13"/>
        <v>1042.9958999999999</v>
      </c>
      <c r="H77" s="8">
        <f t="shared" si="10"/>
        <v>1.0429959</v>
      </c>
    </row>
    <row r="83" spans="3:7">
      <c r="C83" t="s">
        <v>644</v>
      </c>
    </row>
    <row r="84" spans="3:7">
      <c r="C84" t="s">
        <v>118</v>
      </c>
      <c r="D84">
        <f>Mining!E16*1000</f>
        <v>5.23</v>
      </c>
      <c r="E84" t="s">
        <v>645</v>
      </c>
    </row>
    <row r="85" spans="3:7">
      <c r="C85" t="s">
        <v>119</v>
      </c>
      <c r="D85">
        <f>Transport!E16</f>
        <v>1.38</v>
      </c>
      <c r="E85" t="s">
        <v>646</v>
      </c>
    </row>
    <row r="86" spans="3:7">
      <c r="C86" t="s">
        <v>642</v>
      </c>
      <c r="D86" s="69">
        <v>200</v>
      </c>
      <c r="E86" t="s">
        <v>611</v>
      </c>
      <c r="G86" s="25">
        <v>1</v>
      </c>
    </row>
    <row r="87" spans="3:7">
      <c r="C87" t="s">
        <v>119</v>
      </c>
      <c r="D87">
        <f>D86*D85</f>
        <v>276</v>
      </c>
      <c r="E87" t="s">
        <v>645</v>
      </c>
    </row>
    <row r="88" spans="3:7">
      <c r="C88" t="s">
        <v>120</v>
      </c>
      <c r="D88" s="8">
        <f>Comminution!E16*1000</f>
        <v>127.78800000000001</v>
      </c>
      <c r="E88" t="s">
        <v>645</v>
      </c>
    </row>
    <row r="89" spans="3:7" ht="16.5" thickBot="1">
      <c r="C89" s="74" t="s">
        <v>240</v>
      </c>
      <c r="D89" s="75">
        <f>D88+D87+D84</f>
        <v>409.01800000000003</v>
      </c>
      <c r="E89" s="74" t="s">
        <v>645</v>
      </c>
      <c r="F89" s="74"/>
    </row>
    <row r="90" spans="3:7" ht="15.75" thickTop="1">
      <c r="C90" s="56" t="s">
        <v>643</v>
      </c>
      <c r="D90">
        <v>2.5499999999999998</v>
      </c>
      <c r="E90" t="s">
        <v>628</v>
      </c>
      <c r="F90" t="s">
        <v>83</v>
      </c>
    </row>
    <row r="91" spans="3:7">
      <c r="C91" s="56" t="s">
        <v>643</v>
      </c>
      <c r="D91">
        <v>2</v>
      </c>
      <c r="E91" t="s">
        <v>628</v>
      </c>
      <c r="F91" t="s">
        <v>84</v>
      </c>
    </row>
    <row r="92" spans="3:7" ht="16.5" thickBot="1">
      <c r="C92" s="74" t="s">
        <v>647</v>
      </c>
      <c r="D92" s="75">
        <f>D89*D90</f>
        <v>1042.9958999999999</v>
      </c>
      <c r="E92" s="74" t="s">
        <v>649</v>
      </c>
      <c r="F92" s="74" t="s">
        <v>83</v>
      </c>
    </row>
    <row r="93" spans="3:7" ht="17.25" thickTop="1" thickBot="1">
      <c r="C93" s="74" t="s">
        <v>648</v>
      </c>
      <c r="D93" s="75">
        <f>D89*D91</f>
        <v>818.03600000000006</v>
      </c>
      <c r="E93" s="74" t="s">
        <v>649</v>
      </c>
      <c r="F93" s="74" t="s">
        <v>84</v>
      </c>
    </row>
    <row r="94" spans="3:7" ht="15.75" thickTop="1"/>
    <row r="101" spans="3:10">
      <c r="C101" t="s">
        <v>651</v>
      </c>
      <c r="F101" t="s">
        <v>762</v>
      </c>
    </row>
    <row r="102" spans="3:10">
      <c r="C102" t="s">
        <v>122</v>
      </c>
      <c r="F102" t="s">
        <v>122</v>
      </c>
    </row>
    <row r="103" spans="3:10">
      <c r="C103" t="s">
        <v>652</v>
      </c>
      <c r="D103" t="s">
        <v>653</v>
      </c>
      <c r="G103" s="8">
        <f>D92</f>
        <v>1042.9958999999999</v>
      </c>
      <c r="I103" t="s">
        <v>763</v>
      </c>
      <c r="J103" t="s">
        <v>764</v>
      </c>
    </row>
    <row r="104" spans="3:10">
      <c r="C104">
        <v>100</v>
      </c>
      <c r="D104">
        <v>691.09590000000003</v>
      </c>
      <c r="F104">
        <v>1</v>
      </c>
      <c r="G104">
        <v>691.09590000000003</v>
      </c>
      <c r="H104">
        <f>G104/$G$103</f>
        <v>0.66260653565368766</v>
      </c>
      <c r="I104">
        <f>F104*100</f>
        <v>100</v>
      </c>
      <c r="J104">
        <f>H104*$G$103</f>
        <v>691.09590000000003</v>
      </c>
    </row>
    <row r="105" spans="3:10">
      <c r="C105">
        <v>200</v>
      </c>
      <c r="D105">
        <v>1042.9958999999999</v>
      </c>
      <c r="F105">
        <v>2</v>
      </c>
      <c r="G105">
        <v>1042.9958999999999</v>
      </c>
      <c r="H105">
        <f t="shared" ref="H105:H108" si="15">G105/$G$103</f>
        <v>1</v>
      </c>
      <c r="I105">
        <f t="shared" ref="I105:I108" si="16">F105*100</f>
        <v>200</v>
      </c>
      <c r="J105">
        <f t="shared" ref="J105:J108" si="17">H105*$G$103</f>
        <v>1042.9958999999999</v>
      </c>
    </row>
    <row r="106" spans="3:10">
      <c r="C106">
        <v>300</v>
      </c>
      <c r="D106">
        <v>1394.8959</v>
      </c>
      <c r="F106">
        <v>3</v>
      </c>
      <c r="G106">
        <v>1394.8959</v>
      </c>
      <c r="H106">
        <f t="shared" si="15"/>
        <v>1.3373934643463126</v>
      </c>
      <c r="I106">
        <f t="shared" si="16"/>
        <v>300</v>
      </c>
      <c r="J106">
        <f t="shared" si="17"/>
        <v>1394.8959</v>
      </c>
    </row>
    <row r="107" spans="3:10">
      <c r="C107">
        <v>400</v>
      </c>
      <c r="D107">
        <v>1746.7958999999998</v>
      </c>
      <c r="F107">
        <v>4</v>
      </c>
      <c r="G107">
        <v>1746.7958999999998</v>
      </c>
      <c r="H107">
        <f t="shared" si="15"/>
        <v>1.6747869286926249</v>
      </c>
      <c r="I107">
        <f t="shared" si="16"/>
        <v>400</v>
      </c>
      <c r="J107">
        <f t="shared" si="17"/>
        <v>1746.7959000000001</v>
      </c>
    </row>
    <row r="108" spans="3:10">
      <c r="C108">
        <v>500</v>
      </c>
      <c r="D108">
        <v>2098.6958999999997</v>
      </c>
      <c r="F108">
        <v>5</v>
      </c>
      <c r="G108">
        <v>2098.6958999999997</v>
      </c>
      <c r="H108">
        <f t="shared" si="15"/>
        <v>2.0121803930389373</v>
      </c>
      <c r="I108">
        <f t="shared" si="16"/>
        <v>500</v>
      </c>
      <c r="J108">
        <f t="shared" si="17"/>
        <v>2098.6958999999997</v>
      </c>
    </row>
  </sheetData>
  <mergeCells count="9">
    <mergeCell ref="C60:C65"/>
    <mergeCell ref="C66:C71"/>
    <mergeCell ref="C72:C77"/>
    <mergeCell ref="C48:C53"/>
    <mergeCell ref="C12:C17"/>
    <mergeCell ref="C18:C23"/>
    <mergeCell ref="C24:C29"/>
    <mergeCell ref="C36:C41"/>
    <mergeCell ref="C42:C4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00460-B262-8A46-A1F5-A3935685098A}">
  <sheetPr>
    <tabColor theme="7" tint="0.59999389629810485"/>
  </sheetPr>
  <dimension ref="A2:AB56"/>
  <sheetViews>
    <sheetView topLeftCell="A41" zoomScale="75" workbookViewId="0">
      <selection activeCell="J80" sqref="J80"/>
    </sheetView>
  </sheetViews>
  <sheetFormatPr defaultColWidth="11.5546875" defaultRowHeight="15"/>
  <cols>
    <col min="12" max="12" width="12.109375" bestFit="1" customWidth="1"/>
  </cols>
  <sheetData>
    <row r="2" spans="2: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2:28">
      <c r="J3" t="s">
        <v>281</v>
      </c>
      <c r="K3" s="2"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2: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5" spans="2:28">
      <c r="J5" t="s">
        <v>286</v>
      </c>
      <c r="K5" t="s">
        <v>18</v>
      </c>
      <c r="L5" s="8">
        <f>'Heat Pump'!L21</f>
        <v>31.307805855611274</v>
      </c>
      <c r="M5" s="8">
        <f>'Heat Pump'!M21</f>
        <v>30.416236560494667</v>
      </c>
      <c r="N5" s="8">
        <f>'Heat Pump'!N21</f>
        <v>29.585615229120528</v>
      </c>
      <c r="O5" s="8">
        <f>'Heat Pump'!O21</f>
        <v>27.849748754278188</v>
      </c>
      <c r="P5" s="8">
        <f>'Heat Pump'!P21</f>
        <v>23.919621590160457</v>
      </c>
      <c r="Q5" s="8">
        <f>'Heat Pump'!Q21</f>
        <v>19.200512394758157</v>
      </c>
      <c r="R5" s="8">
        <f>'Heat Pump'!R21</f>
        <v>14.27121729113917</v>
      </c>
      <c r="S5" s="8">
        <f>'Heat Pump'!S21</f>
        <v>13.804357412106913</v>
      </c>
      <c r="T5" s="8">
        <f>'Heat Pump'!T21</f>
        <v>13.36579207119782</v>
      </c>
      <c r="U5" s="8">
        <f>'Heat Pump'!U21</f>
        <v>12.953024691518676</v>
      </c>
      <c r="V5" s="8">
        <f>'Heat Pump'!V21</f>
        <v>12.563844019249771</v>
      </c>
      <c r="W5" s="8">
        <f>'Heat Pump'!W21</f>
        <v>12.563844019249771</v>
      </c>
      <c r="X5" s="8">
        <f>'Heat Pump'!X21</f>
        <v>12.563844019249771</v>
      </c>
      <c r="Y5" s="8">
        <f>'Heat Pump'!Y21</f>
        <v>12.563844019249771</v>
      </c>
      <c r="Z5" s="8">
        <f>'Heat Pump'!Z21</f>
        <v>12.563844019249771</v>
      </c>
      <c r="AA5" s="8">
        <f>'Heat Pump'!AA21</f>
        <v>12.563844019249771</v>
      </c>
      <c r="AB5" s="8">
        <f>'Heat Pump'!AB21</f>
        <v>12.563844019249771</v>
      </c>
    </row>
    <row r="6" spans="2:28">
      <c r="J6" t="s">
        <v>103</v>
      </c>
      <c r="K6" t="s">
        <v>18</v>
      </c>
      <c r="L6" s="8">
        <f>L4</f>
        <v>41.3</v>
      </c>
      <c r="M6" s="8">
        <f t="shared" ref="M6:AB6" si="0">M4</f>
        <v>41.3</v>
      </c>
      <c r="N6" s="8">
        <f t="shared" si="0"/>
        <v>41.3</v>
      </c>
      <c r="O6" s="8">
        <f t="shared" si="0"/>
        <v>39.15</v>
      </c>
      <c r="P6" s="8">
        <f t="shared" si="0"/>
        <v>37</v>
      </c>
      <c r="Q6" s="8">
        <f t="shared" si="0"/>
        <v>26.95</v>
      </c>
      <c r="R6" s="8">
        <f t="shared" si="0"/>
        <v>16.899999999999999</v>
      </c>
      <c r="S6" s="8">
        <f t="shared" si="0"/>
        <v>16.25</v>
      </c>
      <c r="T6" s="8">
        <f t="shared" si="0"/>
        <v>15.6</v>
      </c>
      <c r="U6" s="8">
        <f t="shared" si="0"/>
        <v>14.95</v>
      </c>
      <c r="V6" s="8">
        <f t="shared" si="0"/>
        <v>14.3</v>
      </c>
      <c r="W6" s="8">
        <f t="shared" si="0"/>
        <v>14.3</v>
      </c>
      <c r="X6" s="8">
        <f t="shared" si="0"/>
        <v>14.3</v>
      </c>
      <c r="Y6" s="8">
        <f t="shared" si="0"/>
        <v>14.3</v>
      </c>
      <c r="Z6" s="8">
        <f t="shared" si="0"/>
        <v>14.3</v>
      </c>
      <c r="AA6" s="8">
        <f t="shared" si="0"/>
        <v>14.3</v>
      </c>
      <c r="AB6" s="8">
        <f t="shared" si="0"/>
        <v>14.3</v>
      </c>
    </row>
    <row r="8" spans="2:28" ht="20.25" thickBot="1">
      <c r="C8" s="65" t="s">
        <v>41</v>
      </c>
      <c r="D8" s="65"/>
      <c r="E8" s="65"/>
      <c r="F8" s="65"/>
      <c r="G8" s="65"/>
      <c r="H8" s="65"/>
      <c r="I8" s="65"/>
      <c r="J8" s="65" t="s">
        <v>41</v>
      </c>
      <c r="K8" s="65"/>
      <c r="L8" s="65"/>
      <c r="M8" s="65"/>
      <c r="N8" s="65"/>
      <c r="O8" s="65"/>
      <c r="P8" s="65"/>
      <c r="Q8" s="65"/>
      <c r="R8" s="65"/>
      <c r="S8" s="65"/>
      <c r="T8" s="65"/>
      <c r="U8" s="65"/>
      <c r="V8" s="65"/>
      <c r="W8" s="65"/>
      <c r="X8" s="65"/>
      <c r="Y8" s="65"/>
      <c r="Z8" s="65"/>
      <c r="AA8" s="65"/>
      <c r="AB8" s="65"/>
    </row>
    <row r="9" spans="2:28" ht="17.25" thickTop="1" thickBot="1">
      <c r="B9" t="s">
        <v>751</v>
      </c>
      <c r="C9" s="43" t="s">
        <v>8</v>
      </c>
      <c r="D9" s="43" t="s">
        <v>9</v>
      </c>
      <c r="E9" s="43" t="s">
        <v>10</v>
      </c>
      <c r="F9" s="43" t="s">
        <v>11</v>
      </c>
      <c r="G9" s="43" t="s">
        <v>12</v>
      </c>
      <c r="H9" s="43" t="s">
        <v>13</v>
      </c>
      <c r="I9" s="44"/>
      <c r="J9" s="43" t="s">
        <v>8</v>
      </c>
      <c r="K9" s="43" t="s">
        <v>11</v>
      </c>
      <c r="L9" s="43">
        <v>2020</v>
      </c>
      <c r="M9" s="43">
        <v>2025</v>
      </c>
      <c r="N9" s="43">
        <v>2030</v>
      </c>
      <c r="O9" s="43">
        <v>2035</v>
      </c>
      <c r="P9" s="43">
        <v>2040</v>
      </c>
      <c r="Q9" s="43">
        <v>2045</v>
      </c>
      <c r="R9" s="43">
        <v>2050</v>
      </c>
      <c r="S9" s="43">
        <v>2055</v>
      </c>
      <c r="T9" s="43">
        <v>2060</v>
      </c>
      <c r="U9" s="43">
        <v>2065</v>
      </c>
      <c r="V9" s="43">
        <v>2070</v>
      </c>
      <c r="W9" s="43">
        <v>2075</v>
      </c>
      <c r="X9" s="43">
        <v>2080</v>
      </c>
      <c r="Y9" s="43">
        <v>2085</v>
      </c>
      <c r="Z9" s="43">
        <v>2090</v>
      </c>
      <c r="AA9" s="43">
        <v>2095</v>
      </c>
      <c r="AB9" s="43">
        <v>2100</v>
      </c>
    </row>
    <row r="10" spans="2:28" ht="15.75">
      <c r="B10">
        <v>1</v>
      </c>
      <c r="C10" t="s">
        <v>14</v>
      </c>
      <c r="D10" t="s">
        <v>59</v>
      </c>
      <c r="E10" s="69">
        <v>35</v>
      </c>
      <c r="F10" t="s">
        <v>44</v>
      </c>
      <c r="G10" s="8">
        <f>E10*Conversion!$J$8/Conversion!$C$8</f>
        <v>37.413185707096126</v>
      </c>
      <c r="H10" s="64" t="s">
        <v>58</v>
      </c>
      <c r="I10" s="15"/>
      <c r="J10" t="s">
        <v>14</v>
      </c>
      <c r="K10" t="s">
        <v>44</v>
      </c>
      <c r="L10" s="60">
        <f>G10*B10</f>
        <v>37.413185707096126</v>
      </c>
      <c r="M10" s="60">
        <f>$L$10*Learning!M38</f>
        <v>37.413185707096126</v>
      </c>
      <c r="N10" s="60">
        <f>$L$10*Learning!N38</f>
        <v>37.413185707096126</v>
      </c>
      <c r="O10" s="60">
        <f>$L$10*Learning!O38</f>
        <v>37.413185707096126</v>
      </c>
      <c r="P10" s="60">
        <f>$L$10*Learning!P38</f>
        <v>37.413185707096126</v>
      </c>
      <c r="Q10" s="60">
        <f>$L$10*Learning!Q38</f>
        <v>37.413185707096126</v>
      </c>
      <c r="R10" s="60">
        <f>$L$10*Learning!R38</f>
        <v>37.413185707096126</v>
      </c>
      <c r="S10" s="60">
        <f>$L$10*Learning!S38</f>
        <v>37.413185707096126</v>
      </c>
      <c r="T10" s="60">
        <f>$L$10*Learning!T38</f>
        <v>37.413185707096126</v>
      </c>
      <c r="U10" s="60">
        <f>$L$10*Learning!U38</f>
        <v>37.413185707096126</v>
      </c>
      <c r="V10" s="60">
        <f>$L$10*Learning!V38</f>
        <v>37.413185707096126</v>
      </c>
      <c r="W10" s="60">
        <f>$L$10*Learning!W38</f>
        <v>37.413185707096126</v>
      </c>
      <c r="X10" s="60">
        <f>$L$10*Learning!X38</f>
        <v>37.413185707096126</v>
      </c>
      <c r="Y10" s="60">
        <f>$L$10*Learning!Y38</f>
        <v>37.413185707096126</v>
      </c>
      <c r="Z10" s="60">
        <f>$L$10*Learning!Z38</f>
        <v>37.413185707096126</v>
      </c>
      <c r="AA10" s="60">
        <f>$L$10*Learning!AA38</f>
        <v>37.413185707096126</v>
      </c>
      <c r="AB10" s="60">
        <f>$L$10*Learning!AB38</f>
        <v>37.413185707096126</v>
      </c>
    </row>
    <row r="11" spans="2:28" ht="15.75">
      <c r="B11">
        <v>1</v>
      </c>
      <c r="C11" t="s">
        <v>19</v>
      </c>
      <c r="D11" t="s">
        <v>60</v>
      </c>
      <c r="E11" s="69">
        <v>1.5</v>
      </c>
      <c r="F11" t="s">
        <v>45</v>
      </c>
      <c r="G11" s="8">
        <f>E11*Conversion!$J$8/Conversion!$C$8</f>
        <v>1.6034222445898341</v>
      </c>
      <c r="H11" s="64" t="s">
        <v>58</v>
      </c>
      <c r="I11" s="15"/>
      <c r="J11" t="s">
        <v>19</v>
      </c>
      <c r="K11" t="s">
        <v>45</v>
      </c>
      <c r="L11" s="60">
        <f>G11*B11</f>
        <v>1.6034222445898341</v>
      </c>
      <c r="M11" s="60">
        <f>$L$11*Learning!L39</f>
        <v>1.6034222445898341</v>
      </c>
      <c r="N11" s="60">
        <f>$L$11*Learning!M39</f>
        <v>1.6034222445898341</v>
      </c>
      <c r="O11" s="60">
        <f>$L$11*Learning!N39</f>
        <v>1.6034222445898341</v>
      </c>
      <c r="P11" s="60">
        <f>$L$11*Learning!O39</f>
        <v>1.6034222445898341</v>
      </c>
      <c r="Q11" s="60">
        <f>$L$11*Learning!P39</f>
        <v>1.6034222445898341</v>
      </c>
      <c r="R11" s="60">
        <f>$L$11*Learning!Q39</f>
        <v>1.6034222445898341</v>
      </c>
      <c r="S11" s="60">
        <f>$L$11*Learning!R39</f>
        <v>1.6034222445898341</v>
      </c>
      <c r="T11" s="60">
        <f>$L$11*Learning!S39</f>
        <v>1.6034222445898341</v>
      </c>
      <c r="U11" s="60">
        <f>$L$11*Learning!T39</f>
        <v>1.6034222445898341</v>
      </c>
      <c r="V11" s="60">
        <f>$L$11*Learning!U39</f>
        <v>1.6034222445898341</v>
      </c>
      <c r="W11" s="60">
        <f>$L$11*Learning!V39</f>
        <v>1.6034222445898341</v>
      </c>
      <c r="X11" s="60">
        <f>$L$11*Learning!W39</f>
        <v>1.6034222445898341</v>
      </c>
      <c r="Y11" s="60">
        <f>$L$11*Learning!X39</f>
        <v>1.6034222445898341</v>
      </c>
      <c r="Z11" s="60">
        <f>$L$11*Learning!Y39</f>
        <v>1.6034222445898341</v>
      </c>
      <c r="AA11" s="60">
        <f>$L$11*Learning!Z39</f>
        <v>1.6034222445898341</v>
      </c>
      <c r="AB11" s="60">
        <f>$L$11*Learning!AA39</f>
        <v>1.6034222445898341</v>
      </c>
    </row>
    <row r="12" spans="2:28" ht="15.75">
      <c r="C12" t="s">
        <v>20</v>
      </c>
      <c r="D12" t="s">
        <v>60</v>
      </c>
      <c r="E12" s="69">
        <v>0</v>
      </c>
      <c r="F12" t="s">
        <v>45</v>
      </c>
      <c r="G12" s="8">
        <f>E12*Conversion!$J$8/Conversion!$C$8</f>
        <v>0</v>
      </c>
      <c r="H12" s="64" t="s">
        <v>58</v>
      </c>
      <c r="I12" s="15"/>
      <c r="J12" t="s">
        <v>20</v>
      </c>
      <c r="K12" t="s">
        <v>45</v>
      </c>
      <c r="L12" s="60">
        <f t="shared" ref="L12:L15" si="1">G12</f>
        <v>0</v>
      </c>
      <c r="M12" s="60">
        <f>L12</f>
        <v>0</v>
      </c>
      <c r="N12" s="60">
        <f t="shared" ref="N12:AB12" si="2">M12</f>
        <v>0</v>
      </c>
      <c r="O12" s="60">
        <f t="shared" si="2"/>
        <v>0</v>
      </c>
      <c r="P12" s="60">
        <f t="shared" si="2"/>
        <v>0</v>
      </c>
      <c r="Q12" s="60">
        <f t="shared" si="2"/>
        <v>0</v>
      </c>
      <c r="R12" s="60">
        <f t="shared" si="2"/>
        <v>0</v>
      </c>
      <c r="S12" s="60">
        <f t="shared" si="2"/>
        <v>0</v>
      </c>
      <c r="T12" s="60">
        <f t="shared" si="2"/>
        <v>0</v>
      </c>
      <c r="U12" s="60">
        <f t="shared" si="2"/>
        <v>0</v>
      </c>
      <c r="V12" s="60">
        <f t="shared" si="2"/>
        <v>0</v>
      </c>
      <c r="W12" s="60">
        <f t="shared" si="2"/>
        <v>0</v>
      </c>
      <c r="X12" s="60">
        <f t="shared" si="2"/>
        <v>0</v>
      </c>
      <c r="Y12" s="60">
        <f t="shared" si="2"/>
        <v>0</v>
      </c>
      <c r="Z12" s="60">
        <f t="shared" si="2"/>
        <v>0</v>
      </c>
      <c r="AA12" s="60">
        <f t="shared" si="2"/>
        <v>0</v>
      </c>
      <c r="AB12" s="60">
        <f t="shared" si="2"/>
        <v>0</v>
      </c>
    </row>
    <row r="13" spans="2:28" ht="15.75">
      <c r="B13">
        <v>1</v>
      </c>
      <c r="C13" t="s">
        <v>15</v>
      </c>
      <c r="D13" t="s">
        <v>21</v>
      </c>
      <c r="E13" s="69">
        <v>40</v>
      </c>
      <c r="F13" t="s">
        <v>21</v>
      </c>
      <c r="G13" s="8">
        <v>40</v>
      </c>
      <c r="H13" s="64" t="s">
        <v>58</v>
      </c>
      <c r="I13" s="15"/>
      <c r="J13" t="s">
        <v>15</v>
      </c>
      <c r="K13" t="s">
        <v>21</v>
      </c>
      <c r="L13" s="60">
        <f>G13*B13</f>
        <v>40</v>
      </c>
      <c r="M13" s="60">
        <f>L13</f>
        <v>40</v>
      </c>
      <c r="N13" s="60">
        <f t="shared" ref="N13:AB13" si="3">M13</f>
        <v>40</v>
      </c>
      <c r="O13" s="60">
        <f t="shared" si="3"/>
        <v>40</v>
      </c>
      <c r="P13" s="60">
        <f t="shared" si="3"/>
        <v>40</v>
      </c>
      <c r="Q13" s="60">
        <f t="shared" si="3"/>
        <v>40</v>
      </c>
      <c r="R13" s="60">
        <f t="shared" si="3"/>
        <v>40</v>
      </c>
      <c r="S13" s="60">
        <f t="shared" si="3"/>
        <v>40</v>
      </c>
      <c r="T13" s="60">
        <f t="shared" si="3"/>
        <v>40</v>
      </c>
      <c r="U13" s="60">
        <f t="shared" si="3"/>
        <v>40</v>
      </c>
      <c r="V13" s="60">
        <f t="shared" si="3"/>
        <v>40</v>
      </c>
      <c r="W13" s="60">
        <f t="shared" si="3"/>
        <v>40</v>
      </c>
      <c r="X13" s="60">
        <f t="shared" si="3"/>
        <v>40</v>
      </c>
      <c r="Y13" s="60">
        <f t="shared" si="3"/>
        <v>40</v>
      </c>
      <c r="Z13" s="60">
        <f t="shared" si="3"/>
        <v>40</v>
      </c>
      <c r="AA13" s="60">
        <f t="shared" si="3"/>
        <v>40</v>
      </c>
      <c r="AB13" s="60">
        <f t="shared" si="3"/>
        <v>40</v>
      </c>
    </row>
    <row r="14" spans="2:28" ht="15.75">
      <c r="C14" t="s">
        <v>16</v>
      </c>
      <c r="D14" t="s">
        <v>22</v>
      </c>
      <c r="E14" s="69"/>
      <c r="F14" t="s">
        <v>22</v>
      </c>
      <c r="G14" s="8"/>
      <c r="H14" s="64"/>
      <c r="I14" s="15"/>
      <c r="J14" t="s">
        <v>16</v>
      </c>
      <c r="K14" t="s">
        <v>22</v>
      </c>
      <c r="L14" s="60">
        <f>L3*8760</f>
        <v>7884</v>
      </c>
      <c r="M14" s="60">
        <f t="shared" ref="M14:AB14" si="4">M3*8760</f>
        <v>7971.6</v>
      </c>
      <c r="N14" s="60">
        <f t="shared" si="4"/>
        <v>8059.2000000000007</v>
      </c>
      <c r="O14" s="60">
        <f t="shared" si="4"/>
        <v>8146.8</v>
      </c>
      <c r="P14" s="60">
        <f t="shared" si="4"/>
        <v>8234.4</v>
      </c>
      <c r="Q14" s="60">
        <f t="shared" si="4"/>
        <v>8322</v>
      </c>
      <c r="R14" s="60">
        <f t="shared" si="4"/>
        <v>8322</v>
      </c>
      <c r="S14" s="60">
        <f t="shared" si="4"/>
        <v>8322</v>
      </c>
      <c r="T14" s="60">
        <f t="shared" si="4"/>
        <v>8322</v>
      </c>
      <c r="U14" s="60">
        <f t="shared" si="4"/>
        <v>8322</v>
      </c>
      <c r="V14" s="60">
        <f t="shared" si="4"/>
        <v>8322</v>
      </c>
      <c r="W14" s="60">
        <f t="shared" si="4"/>
        <v>8322</v>
      </c>
      <c r="X14" s="60">
        <f t="shared" si="4"/>
        <v>8322</v>
      </c>
      <c r="Y14" s="60">
        <f t="shared" si="4"/>
        <v>8322</v>
      </c>
      <c r="Z14" s="60">
        <f t="shared" si="4"/>
        <v>8322</v>
      </c>
      <c r="AA14" s="60">
        <f t="shared" si="4"/>
        <v>8322</v>
      </c>
      <c r="AB14" s="60">
        <f t="shared" si="4"/>
        <v>8322</v>
      </c>
    </row>
    <row r="15" spans="2:28" ht="15.75">
      <c r="C15" t="s">
        <v>29</v>
      </c>
      <c r="D15" s="2" t="s">
        <v>7</v>
      </c>
      <c r="E15" s="69">
        <v>1</v>
      </c>
      <c r="F15" s="2" t="s">
        <v>7</v>
      </c>
      <c r="G15" s="8">
        <v>1</v>
      </c>
      <c r="H15" s="64"/>
      <c r="I15" s="15"/>
      <c r="J15" t="s">
        <v>29</v>
      </c>
      <c r="K15" s="2" t="s">
        <v>7</v>
      </c>
      <c r="L15" s="60">
        <f t="shared" si="1"/>
        <v>1</v>
      </c>
      <c r="M15" s="60">
        <f>L15</f>
        <v>1</v>
      </c>
      <c r="N15" s="60">
        <f t="shared" ref="N15:AB15" si="5">M15</f>
        <v>1</v>
      </c>
      <c r="O15" s="60">
        <f t="shared" si="5"/>
        <v>1</v>
      </c>
      <c r="P15" s="60">
        <f t="shared" si="5"/>
        <v>1</v>
      </c>
      <c r="Q15" s="60">
        <f t="shared" si="5"/>
        <v>1</v>
      </c>
      <c r="R15" s="60">
        <f t="shared" si="5"/>
        <v>1</v>
      </c>
      <c r="S15" s="60">
        <f t="shared" si="5"/>
        <v>1</v>
      </c>
      <c r="T15" s="60">
        <f t="shared" si="5"/>
        <v>1</v>
      </c>
      <c r="U15" s="60">
        <f t="shared" si="5"/>
        <v>1</v>
      </c>
      <c r="V15" s="60">
        <f t="shared" si="5"/>
        <v>1</v>
      </c>
      <c r="W15" s="60">
        <f t="shared" si="5"/>
        <v>1</v>
      </c>
      <c r="X15" s="60">
        <f t="shared" si="5"/>
        <v>1</v>
      </c>
      <c r="Y15" s="60">
        <f t="shared" si="5"/>
        <v>1</v>
      </c>
      <c r="Z15" s="60">
        <f t="shared" si="5"/>
        <v>1</v>
      </c>
      <c r="AA15" s="60">
        <f t="shared" si="5"/>
        <v>1</v>
      </c>
      <c r="AB15" s="60">
        <f t="shared" si="5"/>
        <v>1</v>
      </c>
    </row>
    <row r="16" spans="2:28" ht="15.75">
      <c r="D16" s="2"/>
      <c r="F16" s="2"/>
      <c r="H16" s="64"/>
      <c r="I16" s="15"/>
      <c r="J16" t="s">
        <v>17</v>
      </c>
      <c r="K16" s="2" t="s">
        <v>7</v>
      </c>
      <c r="L16" s="60">
        <f>(L$2*(1+L$2)^L13)/((1+L$2)^L13-1)</f>
        <v>7.5009138873610326E-2</v>
      </c>
      <c r="M16" s="60">
        <f t="shared" ref="M16:AB16" si="6">(M$2*(1+M$2)^M13)/((1+M$2)^M13-1)</f>
        <v>7.5009138873610326E-2</v>
      </c>
      <c r="N16" s="60">
        <f t="shared" si="6"/>
        <v>7.5009138873610326E-2</v>
      </c>
      <c r="O16" s="60">
        <f t="shared" si="6"/>
        <v>7.5009138873610326E-2</v>
      </c>
      <c r="P16" s="60">
        <f t="shared" si="6"/>
        <v>7.5009138873610326E-2</v>
      </c>
      <c r="Q16" s="60">
        <f t="shared" si="6"/>
        <v>7.5009138873610326E-2</v>
      </c>
      <c r="R16" s="60">
        <f t="shared" si="6"/>
        <v>7.5009138873610326E-2</v>
      </c>
      <c r="S16" s="60">
        <f t="shared" si="6"/>
        <v>7.5009138873610326E-2</v>
      </c>
      <c r="T16" s="60">
        <f t="shared" si="6"/>
        <v>7.5009138873610326E-2</v>
      </c>
      <c r="U16" s="60">
        <f t="shared" si="6"/>
        <v>7.5009138873610326E-2</v>
      </c>
      <c r="V16" s="60">
        <f t="shared" si="6"/>
        <v>7.5009138873610326E-2</v>
      </c>
      <c r="W16" s="60">
        <f t="shared" si="6"/>
        <v>7.5009138873610326E-2</v>
      </c>
      <c r="X16" s="60">
        <f t="shared" si="6"/>
        <v>7.5009138873610326E-2</v>
      </c>
      <c r="Y16" s="60">
        <f t="shared" si="6"/>
        <v>7.5009138873610326E-2</v>
      </c>
      <c r="Z16" s="60">
        <f t="shared" si="6"/>
        <v>7.5009138873610326E-2</v>
      </c>
      <c r="AA16" s="60">
        <f t="shared" si="6"/>
        <v>7.5009138873610326E-2</v>
      </c>
      <c r="AB16" s="60">
        <f t="shared" si="6"/>
        <v>7.5009138873610326E-2</v>
      </c>
    </row>
    <row r="17" spans="2:28" ht="16.5" thickBot="1">
      <c r="C17" s="13" t="s">
        <v>96</v>
      </c>
      <c r="D17" s="4"/>
      <c r="E17" s="4"/>
      <c r="F17" s="4"/>
      <c r="G17" s="4"/>
      <c r="H17" s="4"/>
      <c r="I17" s="14"/>
      <c r="J17" s="63" t="s">
        <v>601</v>
      </c>
      <c r="K17" s="63" t="s">
        <v>45</v>
      </c>
      <c r="L17" s="61">
        <f>((L10*L16+L11)/(L14/8760)+L12)/L15</f>
        <v>4.8997256522195336</v>
      </c>
      <c r="M17" s="61">
        <f t="shared" ref="M17:AB17" si="7">((M10*M16+M11)/(M14/8760)+M12)/M15</f>
        <v>4.8458825131841534</v>
      </c>
      <c r="N17" s="61">
        <f t="shared" si="7"/>
        <v>4.7932098771712823</v>
      </c>
      <c r="O17" s="61">
        <f t="shared" si="7"/>
        <v>4.7416699860189029</v>
      </c>
      <c r="P17" s="61">
        <f t="shared" si="7"/>
        <v>4.6912266882952984</v>
      </c>
      <c r="Q17" s="61">
        <f t="shared" si="7"/>
        <v>4.6418453547342953</v>
      </c>
      <c r="R17" s="61">
        <f t="shared" si="7"/>
        <v>4.6418453547342953</v>
      </c>
      <c r="S17" s="61">
        <f t="shared" si="7"/>
        <v>4.6418453547342953</v>
      </c>
      <c r="T17" s="61">
        <f t="shared" si="7"/>
        <v>4.6418453547342953</v>
      </c>
      <c r="U17" s="61">
        <f t="shared" si="7"/>
        <v>4.6418453547342953</v>
      </c>
      <c r="V17" s="61">
        <f t="shared" si="7"/>
        <v>4.6418453547342953</v>
      </c>
      <c r="W17" s="61">
        <f t="shared" si="7"/>
        <v>4.6418453547342953</v>
      </c>
      <c r="X17" s="61">
        <f t="shared" si="7"/>
        <v>4.6418453547342953</v>
      </c>
      <c r="Y17" s="61">
        <f t="shared" si="7"/>
        <v>4.6418453547342953</v>
      </c>
      <c r="Z17" s="61">
        <f t="shared" si="7"/>
        <v>4.6418453547342953</v>
      </c>
      <c r="AA17" s="61">
        <f t="shared" si="7"/>
        <v>4.6418453547342953</v>
      </c>
      <c r="AB17" s="61">
        <f t="shared" si="7"/>
        <v>4.6418453547342953</v>
      </c>
    </row>
    <row r="18" spans="2:28" ht="16.5" thickTop="1">
      <c r="B18">
        <v>1</v>
      </c>
      <c r="C18" t="s">
        <v>23</v>
      </c>
      <c r="D18" t="s">
        <v>26</v>
      </c>
      <c r="E18" s="69">
        <v>7.1999999999999995E-2</v>
      </c>
      <c r="F18" t="s">
        <v>26</v>
      </c>
      <c r="G18">
        <v>7.1999999999999995E-2</v>
      </c>
      <c r="H18" s="64" t="s">
        <v>49</v>
      </c>
      <c r="I18" s="15"/>
      <c r="J18" t="s">
        <v>23</v>
      </c>
      <c r="K18" t="s">
        <v>45</v>
      </c>
      <c r="L18" s="60">
        <f>$G$18*L4*B18</f>
        <v>2.9735999999999994</v>
      </c>
      <c r="M18" s="60">
        <f t="shared" ref="M18:AB18" si="8">$G$18*M4</f>
        <v>2.9735999999999994</v>
      </c>
      <c r="N18" s="60">
        <f t="shared" si="8"/>
        <v>2.9735999999999994</v>
      </c>
      <c r="O18" s="60">
        <f t="shared" si="8"/>
        <v>2.8187999999999995</v>
      </c>
      <c r="P18" s="60">
        <f t="shared" si="8"/>
        <v>2.6639999999999997</v>
      </c>
      <c r="Q18" s="60">
        <f t="shared" si="8"/>
        <v>1.9403999999999999</v>
      </c>
      <c r="R18" s="60">
        <f t="shared" si="8"/>
        <v>1.2167999999999999</v>
      </c>
      <c r="S18" s="60">
        <f t="shared" si="8"/>
        <v>1.17</v>
      </c>
      <c r="T18" s="60">
        <f t="shared" si="8"/>
        <v>1.1232</v>
      </c>
      <c r="U18" s="60">
        <f t="shared" si="8"/>
        <v>1.0763999999999998</v>
      </c>
      <c r="V18" s="60">
        <f t="shared" si="8"/>
        <v>1.0296000000000001</v>
      </c>
      <c r="W18" s="60">
        <f t="shared" si="8"/>
        <v>1.0296000000000001</v>
      </c>
      <c r="X18" s="60">
        <f t="shared" si="8"/>
        <v>1.0296000000000001</v>
      </c>
      <c r="Y18" s="60">
        <f t="shared" si="8"/>
        <v>1.0296000000000001</v>
      </c>
      <c r="Z18" s="60">
        <f t="shared" si="8"/>
        <v>1.0296000000000001</v>
      </c>
      <c r="AA18" s="60">
        <f t="shared" si="8"/>
        <v>1.0296000000000001</v>
      </c>
      <c r="AB18" s="60">
        <f t="shared" si="8"/>
        <v>1.0296000000000001</v>
      </c>
    </row>
    <row r="19" spans="2:28" ht="15.75">
      <c r="C19" t="s">
        <v>24</v>
      </c>
      <c r="D19" t="s">
        <v>27</v>
      </c>
      <c r="E19" s="69">
        <v>0</v>
      </c>
      <c r="F19" t="s">
        <v>27</v>
      </c>
      <c r="G19">
        <v>0</v>
      </c>
      <c r="H19" s="64"/>
      <c r="I19" s="15"/>
      <c r="J19" t="s">
        <v>24</v>
      </c>
      <c r="K19" t="s">
        <v>45</v>
      </c>
      <c r="L19" s="60">
        <f>G19</f>
        <v>0</v>
      </c>
      <c r="M19" s="60">
        <f t="shared" ref="M19:AB20" si="9">L19</f>
        <v>0</v>
      </c>
      <c r="N19" s="60">
        <f t="shared" si="9"/>
        <v>0</v>
      </c>
      <c r="O19" s="60">
        <f t="shared" si="9"/>
        <v>0</v>
      </c>
      <c r="P19" s="60">
        <f t="shared" si="9"/>
        <v>0</v>
      </c>
      <c r="Q19" s="60">
        <f t="shared" si="9"/>
        <v>0</v>
      </c>
      <c r="R19" s="60">
        <f t="shared" si="9"/>
        <v>0</v>
      </c>
      <c r="S19" s="60">
        <f t="shared" si="9"/>
        <v>0</v>
      </c>
      <c r="T19" s="60">
        <f t="shared" si="9"/>
        <v>0</v>
      </c>
      <c r="U19" s="60">
        <f t="shared" si="9"/>
        <v>0</v>
      </c>
      <c r="V19" s="60">
        <f t="shared" si="9"/>
        <v>0</v>
      </c>
      <c r="W19" s="60">
        <f t="shared" si="9"/>
        <v>0</v>
      </c>
      <c r="X19" s="60">
        <f t="shared" si="9"/>
        <v>0</v>
      </c>
      <c r="Y19" s="60">
        <f t="shared" si="9"/>
        <v>0</v>
      </c>
      <c r="Z19" s="60">
        <f t="shared" si="9"/>
        <v>0</v>
      </c>
      <c r="AA19" s="60">
        <f t="shared" si="9"/>
        <v>0</v>
      </c>
      <c r="AB19" s="60">
        <f t="shared" si="9"/>
        <v>0</v>
      </c>
    </row>
    <row r="20" spans="2:28" ht="15.75">
      <c r="C20" t="s">
        <v>25</v>
      </c>
      <c r="D20" t="s">
        <v>27</v>
      </c>
      <c r="E20" s="69">
        <v>0</v>
      </c>
      <c r="F20" t="s">
        <v>27</v>
      </c>
      <c r="G20">
        <v>0</v>
      </c>
      <c r="H20" s="64"/>
      <c r="I20" s="15"/>
      <c r="J20" t="s">
        <v>25</v>
      </c>
      <c r="K20" t="s">
        <v>45</v>
      </c>
      <c r="L20" s="60">
        <f t="shared" ref="L20" si="10">G20</f>
        <v>0</v>
      </c>
      <c r="M20" s="60">
        <f t="shared" si="9"/>
        <v>0</v>
      </c>
      <c r="N20" s="60">
        <f t="shared" si="9"/>
        <v>0</v>
      </c>
      <c r="O20" s="60">
        <f t="shared" si="9"/>
        <v>0</v>
      </c>
      <c r="P20" s="60">
        <f t="shared" si="9"/>
        <v>0</v>
      </c>
      <c r="Q20" s="60">
        <f t="shared" si="9"/>
        <v>0</v>
      </c>
      <c r="R20" s="60">
        <f t="shared" si="9"/>
        <v>0</v>
      </c>
      <c r="S20" s="60">
        <f t="shared" si="9"/>
        <v>0</v>
      </c>
      <c r="T20" s="60">
        <f t="shared" si="9"/>
        <v>0</v>
      </c>
      <c r="U20" s="60">
        <f t="shared" si="9"/>
        <v>0</v>
      </c>
      <c r="V20" s="60">
        <f t="shared" si="9"/>
        <v>0</v>
      </c>
      <c r="W20" s="60">
        <f t="shared" si="9"/>
        <v>0</v>
      </c>
      <c r="X20" s="60">
        <f t="shared" si="9"/>
        <v>0</v>
      </c>
      <c r="Y20" s="60">
        <f t="shared" si="9"/>
        <v>0</v>
      </c>
      <c r="Z20" s="60">
        <f t="shared" si="9"/>
        <v>0</v>
      </c>
      <c r="AA20" s="60">
        <f t="shared" si="9"/>
        <v>0</v>
      </c>
      <c r="AB20" s="60">
        <f t="shared" si="9"/>
        <v>0</v>
      </c>
    </row>
    <row r="21" spans="2:28" ht="16.5" thickBot="1">
      <c r="C21" s="13" t="s">
        <v>97</v>
      </c>
      <c r="D21" s="4"/>
      <c r="E21" s="4"/>
      <c r="F21" s="4"/>
      <c r="G21" s="4"/>
      <c r="H21" s="4"/>
      <c r="I21" s="14"/>
      <c r="J21" s="63" t="s">
        <v>600</v>
      </c>
      <c r="K21" s="63" t="s">
        <v>45</v>
      </c>
      <c r="L21" s="61">
        <f>L17+L18*L$3</f>
        <v>7.5759656522195336</v>
      </c>
      <c r="M21" s="61">
        <f t="shared" ref="M21:AB21" si="11">M17+M18*M$3</f>
        <v>7.5518585131841531</v>
      </c>
      <c r="N21" s="61">
        <f t="shared" si="11"/>
        <v>7.5289218771712818</v>
      </c>
      <c r="O21" s="61">
        <f t="shared" si="11"/>
        <v>7.3631539860189026</v>
      </c>
      <c r="P21" s="61">
        <f t="shared" si="11"/>
        <v>7.1953866882952981</v>
      </c>
      <c r="Q21" s="61">
        <f t="shared" si="11"/>
        <v>6.4852253547342951</v>
      </c>
      <c r="R21" s="61">
        <f t="shared" si="11"/>
        <v>5.7978053547342956</v>
      </c>
      <c r="S21" s="61">
        <f t="shared" si="11"/>
        <v>5.7533453547342948</v>
      </c>
      <c r="T21" s="61">
        <f t="shared" si="11"/>
        <v>5.7088853547342957</v>
      </c>
      <c r="U21" s="61">
        <f t="shared" si="11"/>
        <v>5.6644253547342949</v>
      </c>
      <c r="V21" s="61">
        <f t="shared" si="11"/>
        <v>5.6199653547342949</v>
      </c>
      <c r="W21" s="61">
        <f t="shared" si="11"/>
        <v>5.6199653547342949</v>
      </c>
      <c r="X21" s="61">
        <f t="shared" si="11"/>
        <v>5.6199653547342949</v>
      </c>
      <c r="Y21" s="61">
        <f t="shared" si="11"/>
        <v>5.6199653547342949</v>
      </c>
      <c r="Z21" s="61">
        <f t="shared" si="11"/>
        <v>5.6199653547342949</v>
      </c>
      <c r="AA21" s="61">
        <f t="shared" si="11"/>
        <v>5.6199653547342949</v>
      </c>
      <c r="AB21" s="61">
        <f t="shared" si="11"/>
        <v>5.6199653547342949</v>
      </c>
    </row>
    <row r="22" spans="2:28" ht="15.75" thickTop="1">
      <c r="C22" t="s">
        <v>47</v>
      </c>
      <c r="D22" t="s">
        <v>48</v>
      </c>
      <c r="E22" s="5">
        <v>22</v>
      </c>
      <c r="F22" t="s">
        <v>48</v>
      </c>
      <c r="G22" s="5">
        <v>22</v>
      </c>
      <c r="H22" s="64" t="s">
        <v>49</v>
      </c>
      <c r="I22" s="15"/>
      <c r="J22" t="s">
        <v>47</v>
      </c>
      <c r="K22" t="s">
        <v>48</v>
      </c>
      <c r="L22" s="11">
        <f>G22</f>
        <v>22</v>
      </c>
      <c r="M22" s="11">
        <f>L22</f>
        <v>22</v>
      </c>
      <c r="N22" s="11">
        <f t="shared" ref="N22:AB22" si="12">M22</f>
        <v>22</v>
      </c>
      <c r="O22" s="11">
        <f t="shared" si="12"/>
        <v>22</v>
      </c>
      <c r="P22" s="11">
        <f t="shared" si="12"/>
        <v>22</v>
      </c>
      <c r="Q22" s="11">
        <f t="shared" si="12"/>
        <v>22</v>
      </c>
      <c r="R22" s="11">
        <f t="shared" si="12"/>
        <v>22</v>
      </c>
      <c r="S22" s="11">
        <f t="shared" si="12"/>
        <v>22</v>
      </c>
      <c r="T22" s="11">
        <f t="shared" si="12"/>
        <v>22</v>
      </c>
      <c r="U22" s="11">
        <f t="shared" si="12"/>
        <v>22</v>
      </c>
      <c r="V22" s="11">
        <f t="shared" si="12"/>
        <v>22</v>
      </c>
      <c r="W22" s="11">
        <f t="shared" si="12"/>
        <v>22</v>
      </c>
      <c r="X22" s="11">
        <f t="shared" si="12"/>
        <v>22</v>
      </c>
      <c r="Y22" s="11">
        <f t="shared" si="12"/>
        <v>22</v>
      </c>
      <c r="Z22" s="11">
        <f t="shared" si="12"/>
        <v>22</v>
      </c>
      <c r="AA22" s="11">
        <f t="shared" si="12"/>
        <v>22</v>
      </c>
      <c r="AB22" s="11">
        <f t="shared" si="12"/>
        <v>22</v>
      </c>
    </row>
    <row r="23" spans="2:28">
      <c r="I23" s="15"/>
      <c r="L23" s="11"/>
      <c r="M23" s="11"/>
      <c r="N23" s="11"/>
      <c r="O23" s="11"/>
      <c r="P23" s="11"/>
      <c r="Q23" s="11"/>
      <c r="R23" s="11"/>
      <c r="S23" s="11"/>
      <c r="T23" s="11"/>
      <c r="U23" s="11"/>
      <c r="V23" s="11"/>
      <c r="W23" s="11"/>
      <c r="X23" s="11"/>
      <c r="Y23" s="11"/>
      <c r="Z23" s="11"/>
      <c r="AA23" s="11"/>
      <c r="AB23" s="11"/>
    </row>
    <row r="24" spans="2:28" ht="16.5" thickBot="1">
      <c r="I24" s="15"/>
      <c r="J24" s="63" t="s">
        <v>597</v>
      </c>
      <c r="K24" s="63" t="s">
        <v>45</v>
      </c>
      <c r="L24" s="61">
        <f>L21+DAC!L21</f>
        <v>167.56853394382247</v>
      </c>
      <c r="M24" s="61">
        <f>M21+DAC!M21</f>
        <v>156.3559724966357</v>
      </c>
      <c r="N24" s="61">
        <f>N21+DAC!N21</f>
        <v>122.57172061275435</v>
      </c>
      <c r="O24" s="61">
        <f>O21+DAC!O21</f>
        <v>106.30833505134076</v>
      </c>
      <c r="P24" s="61">
        <f>P21+DAC!P21</f>
        <v>74.253969845254304</v>
      </c>
      <c r="Q24" s="61">
        <f>Q21+DAC!Q21</f>
        <v>60.667693429192667</v>
      </c>
      <c r="R24" s="61">
        <f>R21+DAC!R21</f>
        <v>45.680254312341454</v>
      </c>
      <c r="S24" s="61">
        <f>S21+DAC!S21</f>
        <v>42.934097692355564</v>
      </c>
      <c r="T24" s="61">
        <f>T21+DAC!T21</f>
        <v>41.128293179885986</v>
      </c>
      <c r="U24" s="61">
        <f>U21+DAC!U21</f>
        <v>40.112073806253036</v>
      </c>
      <c r="V24" s="61">
        <f>V21+DAC!V21</f>
        <v>39.28960160437407</v>
      </c>
      <c r="W24" s="61">
        <f>W21+DAC!W21</f>
        <v>39.038465282067378</v>
      </c>
      <c r="X24" s="61">
        <f>X21+DAC!X21</f>
        <v>38.670075680180595</v>
      </c>
      <c r="Y24" s="61">
        <f>Y21+DAC!Y21</f>
        <v>38.187587376919303</v>
      </c>
      <c r="Z24" s="61">
        <f>Z21+DAC!Z21</f>
        <v>37.78434108885461</v>
      </c>
      <c r="AA24" s="61">
        <f>AA21+DAC!AA21</f>
        <v>37.612859261162683</v>
      </c>
      <c r="AB24" s="61">
        <f>AB21+DAC!AB21</f>
        <v>37.505135758671635</v>
      </c>
    </row>
    <row r="25" spans="2:28" ht="15.75" thickTop="1"/>
    <row r="28" spans="2:28" ht="20.25" thickBot="1">
      <c r="C28" s="65" t="s">
        <v>43</v>
      </c>
      <c r="D28" s="65"/>
      <c r="E28" s="65"/>
      <c r="F28" s="65"/>
      <c r="G28" s="65"/>
      <c r="H28" s="65"/>
      <c r="I28" s="65"/>
      <c r="J28" s="65" t="s">
        <v>43</v>
      </c>
      <c r="K28" s="65"/>
      <c r="L28" s="65"/>
      <c r="M28" s="65"/>
      <c r="N28" s="65"/>
      <c r="O28" s="65"/>
      <c r="P28" s="65"/>
      <c r="Q28" s="65"/>
      <c r="R28" s="65"/>
      <c r="S28" s="65"/>
      <c r="T28" s="65"/>
      <c r="U28" s="65"/>
      <c r="V28" s="65"/>
      <c r="W28" s="65"/>
      <c r="X28" s="65"/>
      <c r="Y28" s="65"/>
      <c r="Z28" s="65"/>
      <c r="AA28" s="65"/>
      <c r="AB28" s="65"/>
    </row>
    <row r="29" spans="2:28" ht="17.25" thickTop="1" thickBot="1">
      <c r="C29" s="43" t="s">
        <v>8</v>
      </c>
      <c r="D29" s="43" t="s">
        <v>9</v>
      </c>
      <c r="E29" s="43" t="s">
        <v>10</v>
      </c>
      <c r="F29" s="43" t="s">
        <v>11</v>
      </c>
      <c r="G29" s="43" t="s">
        <v>12</v>
      </c>
      <c r="H29" s="43" t="s">
        <v>13</v>
      </c>
      <c r="I29" s="44"/>
      <c r="J29" s="43" t="s">
        <v>8</v>
      </c>
      <c r="K29" s="43" t="s">
        <v>11</v>
      </c>
      <c r="L29" s="43">
        <v>2020</v>
      </c>
      <c r="M29" s="43">
        <v>2025</v>
      </c>
      <c r="N29" s="43">
        <v>2030</v>
      </c>
      <c r="O29" s="43">
        <v>2035</v>
      </c>
      <c r="P29" s="43">
        <v>2040</v>
      </c>
      <c r="Q29" s="43">
        <v>2045</v>
      </c>
      <c r="R29" s="43">
        <v>2050</v>
      </c>
      <c r="S29" s="43">
        <v>2055</v>
      </c>
      <c r="T29" s="43">
        <v>2060</v>
      </c>
      <c r="U29" s="43">
        <v>2065</v>
      </c>
      <c r="V29" s="43">
        <v>2070</v>
      </c>
      <c r="W29" s="43">
        <v>2075</v>
      </c>
      <c r="X29" s="43">
        <v>2080</v>
      </c>
      <c r="Y29" s="43">
        <v>2085</v>
      </c>
      <c r="Z29" s="43">
        <v>2090</v>
      </c>
      <c r="AA29" s="43">
        <v>2095</v>
      </c>
      <c r="AB29" s="43">
        <v>2100</v>
      </c>
    </row>
    <row r="30" spans="2:28" ht="15.75">
      <c r="C30" t="s">
        <v>14</v>
      </c>
      <c r="D30" t="s">
        <v>59</v>
      </c>
      <c r="E30" s="69">
        <v>99.5</v>
      </c>
      <c r="F30" t="s">
        <v>44</v>
      </c>
      <c r="G30" s="8">
        <f>E30*Conversion!$J$8/Conversion!$C$8</f>
        <v>106.36034222445899</v>
      </c>
      <c r="H30" s="64" t="s">
        <v>58</v>
      </c>
      <c r="I30" s="15"/>
      <c r="J30" t="s">
        <v>14</v>
      </c>
      <c r="K30" t="s">
        <v>44</v>
      </c>
      <c r="L30" s="60">
        <f>G30*B10</f>
        <v>106.36034222445899</v>
      </c>
      <c r="M30" s="60">
        <f>$L$30*Learning!M38</f>
        <v>106.36034222445899</v>
      </c>
      <c r="N30" s="60">
        <f>$L$30*Learning!N38</f>
        <v>106.36034222445899</v>
      </c>
      <c r="O30" s="60">
        <f>$L$30*Learning!O38</f>
        <v>106.36034222445899</v>
      </c>
      <c r="P30" s="60">
        <f>$L$30*Learning!P38</f>
        <v>106.36034222445899</v>
      </c>
      <c r="Q30" s="60">
        <f>$L$30*Learning!Q38</f>
        <v>106.36034222445899</v>
      </c>
      <c r="R30" s="60">
        <f>$L$30*Learning!R38</f>
        <v>106.36034222445899</v>
      </c>
      <c r="S30" s="60">
        <f>$L$30*Learning!S38</f>
        <v>106.36034222445899</v>
      </c>
      <c r="T30" s="60">
        <f>$L$30*Learning!T38</f>
        <v>106.36034222445899</v>
      </c>
      <c r="U30" s="60">
        <f>$L$30*Learning!U38</f>
        <v>106.36034222445899</v>
      </c>
      <c r="V30" s="60">
        <f>$L$30*Learning!V38</f>
        <v>106.36034222445899</v>
      </c>
      <c r="W30" s="60">
        <f>$L$30*Learning!W38</f>
        <v>106.36034222445899</v>
      </c>
      <c r="X30" s="60">
        <f>$L$30*Learning!X38</f>
        <v>106.36034222445899</v>
      </c>
      <c r="Y30" s="60">
        <f>$L$30*Learning!Y38</f>
        <v>106.36034222445899</v>
      </c>
      <c r="Z30" s="60">
        <f>$L$30*Learning!Z38</f>
        <v>106.36034222445899</v>
      </c>
      <c r="AA30" s="60">
        <f>$L$30*Learning!AA38</f>
        <v>106.36034222445899</v>
      </c>
      <c r="AB30" s="60">
        <f>$L$30*Learning!AB38</f>
        <v>106.36034222445899</v>
      </c>
    </row>
    <row r="31" spans="2:28" ht="15.75">
      <c r="C31" t="s">
        <v>19</v>
      </c>
      <c r="D31" t="s">
        <v>60</v>
      </c>
      <c r="E31" s="69">
        <v>3.5</v>
      </c>
      <c r="F31" t="s">
        <v>45</v>
      </c>
      <c r="G31" s="8">
        <f>E31*Conversion!$J$8/Conversion!$C$8</f>
        <v>3.7413185707096126</v>
      </c>
      <c r="H31" s="64" t="s">
        <v>58</v>
      </c>
      <c r="I31" s="15"/>
      <c r="J31" t="s">
        <v>19</v>
      </c>
      <c r="K31" t="s">
        <v>45</v>
      </c>
      <c r="L31" s="60">
        <f>G31*B11</f>
        <v>3.7413185707096126</v>
      </c>
      <c r="M31" s="60">
        <f>$L$31*Learning!L39</f>
        <v>3.7413185707096126</v>
      </c>
      <c r="N31" s="60">
        <f>$L$31*Learning!M39</f>
        <v>3.7413185707096126</v>
      </c>
      <c r="O31" s="60">
        <f>$L$31*Learning!N39</f>
        <v>3.7413185707096126</v>
      </c>
      <c r="P31" s="60">
        <f>$L$31*Learning!O39</f>
        <v>3.7413185707096126</v>
      </c>
      <c r="Q31" s="60">
        <f>$L$31*Learning!P39</f>
        <v>3.7413185707096126</v>
      </c>
      <c r="R31" s="60">
        <f>$L$31*Learning!Q39</f>
        <v>3.7413185707096126</v>
      </c>
      <c r="S31" s="60">
        <f>$L$31*Learning!R39</f>
        <v>3.7413185707096126</v>
      </c>
      <c r="T31" s="60">
        <f>$L$31*Learning!S39</f>
        <v>3.7413185707096126</v>
      </c>
      <c r="U31" s="60">
        <f>$L$31*Learning!T39</f>
        <v>3.7413185707096126</v>
      </c>
      <c r="V31" s="60">
        <f>$L$31*Learning!U39</f>
        <v>3.7413185707096126</v>
      </c>
      <c r="W31" s="60">
        <f>$L$31*Learning!V39</f>
        <v>3.7413185707096126</v>
      </c>
      <c r="X31" s="60">
        <f>$L$31*Learning!W39</f>
        <v>3.7413185707096126</v>
      </c>
      <c r="Y31" s="60">
        <f>$L$31*Learning!X39</f>
        <v>3.7413185707096126</v>
      </c>
      <c r="Z31" s="60">
        <f>$L$31*Learning!Y39</f>
        <v>3.7413185707096126</v>
      </c>
      <c r="AA31" s="60">
        <f>$L$31*Learning!Z39</f>
        <v>3.7413185707096126</v>
      </c>
      <c r="AB31" s="60">
        <f>$L$31*Learning!AA39</f>
        <v>3.7413185707096126</v>
      </c>
    </row>
    <row r="32" spans="2:28" ht="15.75">
      <c r="C32" t="s">
        <v>20</v>
      </c>
      <c r="D32" t="s">
        <v>60</v>
      </c>
      <c r="E32" s="69">
        <v>0</v>
      </c>
      <c r="F32" t="s">
        <v>45</v>
      </c>
      <c r="G32" s="8">
        <v>0</v>
      </c>
      <c r="H32" s="64" t="s">
        <v>58</v>
      </c>
      <c r="I32" s="15"/>
      <c r="J32" t="s">
        <v>20</v>
      </c>
      <c r="K32" t="s">
        <v>45</v>
      </c>
      <c r="L32" s="60">
        <f t="shared" ref="L32:L35" si="13">G32</f>
        <v>0</v>
      </c>
      <c r="M32" s="60">
        <f>L32</f>
        <v>0</v>
      </c>
      <c r="N32" s="60">
        <f t="shared" ref="N32:AB32" si="14">M32</f>
        <v>0</v>
      </c>
      <c r="O32" s="60">
        <f t="shared" si="14"/>
        <v>0</v>
      </c>
      <c r="P32" s="60">
        <f t="shared" si="14"/>
        <v>0</v>
      </c>
      <c r="Q32" s="60">
        <f t="shared" si="14"/>
        <v>0</v>
      </c>
      <c r="R32" s="60">
        <f t="shared" si="14"/>
        <v>0</v>
      </c>
      <c r="S32" s="60">
        <f t="shared" si="14"/>
        <v>0</v>
      </c>
      <c r="T32" s="60">
        <f t="shared" si="14"/>
        <v>0</v>
      </c>
      <c r="U32" s="60">
        <f t="shared" si="14"/>
        <v>0</v>
      </c>
      <c r="V32" s="60">
        <f t="shared" si="14"/>
        <v>0</v>
      </c>
      <c r="W32" s="60">
        <f t="shared" si="14"/>
        <v>0</v>
      </c>
      <c r="X32" s="60">
        <f t="shared" si="14"/>
        <v>0</v>
      </c>
      <c r="Y32" s="60">
        <f t="shared" si="14"/>
        <v>0</v>
      </c>
      <c r="Z32" s="60">
        <f t="shared" si="14"/>
        <v>0</v>
      </c>
      <c r="AA32" s="60">
        <f t="shared" si="14"/>
        <v>0</v>
      </c>
      <c r="AB32" s="60">
        <f t="shared" si="14"/>
        <v>0</v>
      </c>
    </row>
    <row r="33" spans="1:28" ht="15.75">
      <c r="C33" t="s">
        <v>15</v>
      </c>
      <c r="D33" t="s">
        <v>21</v>
      </c>
      <c r="E33" s="69">
        <v>40</v>
      </c>
      <c r="F33" t="s">
        <v>21</v>
      </c>
      <c r="G33" s="8">
        <v>40</v>
      </c>
      <c r="H33" s="64" t="s">
        <v>58</v>
      </c>
      <c r="I33" s="15"/>
      <c r="J33" t="s">
        <v>15</v>
      </c>
      <c r="K33" t="s">
        <v>21</v>
      </c>
      <c r="L33" s="60">
        <f>G33*B13</f>
        <v>40</v>
      </c>
      <c r="M33" s="60">
        <f>L33</f>
        <v>40</v>
      </c>
      <c r="N33" s="60">
        <f t="shared" ref="N33:AB33" si="15">M33</f>
        <v>40</v>
      </c>
      <c r="O33" s="60">
        <f t="shared" si="15"/>
        <v>40</v>
      </c>
      <c r="P33" s="60">
        <f t="shared" si="15"/>
        <v>40</v>
      </c>
      <c r="Q33" s="60">
        <f t="shared" si="15"/>
        <v>40</v>
      </c>
      <c r="R33" s="60">
        <f t="shared" si="15"/>
        <v>40</v>
      </c>
      <c r="S33" s="60">
        <f t="shared" si="15"/>
        <v>40</v>
      </c>
      <c r="T33" s="60">
        <f t="shared" si="15"/>
        <v>40</v>
      </c>
      <c r="U33" s="60">
        <f t="shared" si="15"/>
        <v>40</v>
      </c>
      <c r="V33" s="60">
        <f t="shared" si="15"/>
        <v>40</v>
      </c>
      <c r="W33" s="60">
        <f t="shared" si="15"/>
        <v>40</v>
      </c>
      <c r="X33" s="60">
        <f t="shared" si="15"/>
        <v>40</v>
      </c>
      <c r="Y33" s="60">
        <f t="shared" si="15"/>
        <v>40</v>
      </c>
      <c r="Z33" s="60">
        <f t="shared" si="15"/>
        <v>40</v>
      </c>
      <c r="AA33" s="60">
        <f t="shared" si="15"/>
        <v>40</v>
      </c>
      <c r="AB33" s="60">
        <f t="shared" si="15"/>
        <v>40</v>
      </c>
    </row>
    <row r="34" spans="1:28" ht="15.75">
      <c r="C34" t="s">
        <v>16</v>
      </c>
      <c r="D34" t="s">
        <v>22</v>
      </c>
      <c r="E34" s="69"/>
      <c r="F34" t="s">
        <v>22</v>
      </c>
      <c r="G34" s="8"/>
      <c r="H34" s="64"/>
      <c r="I34" s="15"/>
      <c r="J34" t="s">
        <v>16</v>
      </c>
      <c r="K34" t="s">
        <v>22</v>
      </c>
      <c r="L34" s="60">
        <f>L3*8760</f>
        <v>7884</v>
      </c>
      <c r="M34" s="60">
        <f t="shared" ref="M34:AB34" si="16">M3*8760</f>
        <v>7971.6</v>
      </c>
      <c r="N34" s="60">
        <f t="shared" si="16"/>
        <v>8059.2000000000007</v>
      </c>
      <c r="O34" s="60">
        <f t="shared" si="16"/>
        <v>8146.8</v>
      </c>
      <c r="P34" s="60">
        <f t="shared" si="16"/>
        <v>8234.4</v>
      </c>
      <c r="Q34" s="60">
        <f t="shared" si="16"/>
        <v>8322</v>
      </c>
      <c r="R34" s="60">
        <f t="shared" si="16"/>
        <v>8322</v>
      </c>
      <c r="S34" s="60">
        <f t="shared" si="16"/>
        <v>8322</v>
      </c>
      <c r="T34" s="60">
        <f t="shared" si="16"/>
        <v>8322</v>
      </c>
      <c r="U34" s="60">
        <f t="shared" si="16"/>
        <v>8322</v>
      </c>
      <c r="V34" s="60">
        <f t="shared" si="16"/>
        <v>8322</v>
      </c>
      <c r="W34" s="60">
        <f t="shared" si="16"/>
        <v>8322</v>
      </c>
      <c r="X34" s="60">
        <f t="shared" si="16"/>
        <v>8322</v>
      </c>
      <c r="Y34" s="60">
        <f t="shared" si="16"/>
        <v>8322</v>
      </c>
      <c r="Z34" s="60">
        <f t="shared" si="16"/>
        <v>8322</v>
      </c>
      <c r="AA34" s="60">
        <f t="shared" si="16"/>
        <v>8322</v>
      </c>
      <c r="AB34" s="60">
        <f t="shared" si="16"/>
        <v>8322</v>
      </c>
    </row>
    <row r="35" spans="1:28" ht="15.75">
      <c r="C35" t="s">
        <v>29</v>
      </c>
      <c r="D35" s="2" t="s">
        <v>7</v>
      </c>
      <c r="E35" s="69">
        <v>1</v>
      </c>
      <c r="F35" s="2" t="s">
        <v>7</v>
      </c>
      <c r="G35" s="8">
        <v>1</v>
      </c>
      <c r="H35" s="64"/>
      <c r="I35" s="15"/>
      <c r="J35" t="s">
        <v>29</v>
      </c>
      <c r="K35" s="2" t="s">
        <v>7</v>
      </c>
      <c r="L35" s="60">
        <f t="shared" si="13"/>
        <v>1</v>
      </c>
      <c r="M35" s="60">
        <f>L35</f>
        <v>1</v>
      </c>
      <c r="N35" s="60">
        <f t="shared" ref="N35:AB35" si="17">M35</f>
        <v>1</v>
      </c>
      <c r="O35" s="60">
        <f t="shared" si="17"/>
        <v>1</v>
      </c>
      <c r="P35" s="60">
        <f t="shared" si="17"/>
        <v>1</v>
      </c>
      <c r="Q35" s="60">
        <f t="shared" si="17"/>
        <v>1</v>
      </c>
      <c r="R35" s="60">
        <f t="shared" si="17"/>
        <v>1</v>
      </c>
      <c r="S35" s="60">
        <f t="shared" si="17"/>
        <v>1</v>
      </c>
      <c r="T35" s="60">
        <f t="shared" si="17"/>
        <v>1</v>
      </c>
      <c r="U35" s="60">
        <f t="shared" si="17"/>
        <v>1</v>
      </c>
      <c r="V35" s="60">
        <f t="shared" si="17"/>
        <v>1</v>
      </c>
      <c r="W35" s="60">
        <f t="shared" si="17"/>
        <v>1</v>
      </c>
      <c r="X35" s="60">
        <f t="shared" si="17"/>
        <v>1</v>
      </c>
      <c r="Y35" s="60">
        <f t="shared" si="17"/>
        <v>1</v>
      </c>
      <c r="Z35" s="60">
        <f t="shared" si="17"/>
        <v>1</v>
      </c>
      <c r="AA35" s="60">
        <f t="shared" si="17"/>
        <v>1</v>
      </c>
      <c r="AB35" s="60">
        <f t="shared" si="17"/>
        <v>1</v>
      </c>
    </row>
    <row r="36" spans="1:28" ht="15.75">
      <c r="D36" s="2"/>
      <c r="F36" s="2"/>
      <c r="H36" s="64"/>
      <c r="I36" s="15"/>
      <c r="J36" t="s">
        <v>17</v>
      </c>
      <c r="K36" s="2" t="s">
        <v>7</v>
      </c>
      <c r="L36" s="60">
        <f>(L$2*(1+L$2)^L33)/((1+L$2)^L33-1)</f>
        <v>7.5009138873610326E-2</v>
      </c>
      <c r="M36" s="60">
        <f t="shared" ref="M36:AB36" si="18">(M$2*(1+M$2)^M33)/((1+M$2)^M33-1)</f>
        <v>7.5009138873610326E-2</v>
      </c>
      <c r="N36" s="60">
        <f t="shared" si="18"/>
        <v>7.5009138873610326E-2</v>
      </c>
      <c r="O36" s="60">
        <f t="shared" si="18"/>
        <v>7.5009138873610326E-2</v>
      </c>
      <c r="P36" s="60">
        <f t="shared" si="18"/>
        <v>7.5009138873610326E-2</v>
      </c>
      <c r="Q36" s="60">
        <f t="shared" si="18"/>
        <v>7.5009138873610326E-2</v>
      </c>
      <c r="R36" s="60">
        <f t="shared" si="18"/>
        <v>7.5009138873610326E-2</v>
      </c>
      <c r="S36" s="60">
        <f t="shared" si="18"/>
        <v>7.5009138873610326E-2</v>
      </c>
      <c r="T36" s="60">
        <f t="shared" si="18"/>
        <v>7.5009138873610326E-2</v>
      </c>
      <c r="U36" s="60">
        <f t="shared" si="18"/>
        <v>7.5009138873610326E-2</v>
      </c>
      <c r="V36" s="60">
        <f t="shared" si="18"/>
        <v>7.5009138873610326E-2</v>
      </c>
      <c r="W36" s="60">
        <f t="shared" si="18"/>
        <v>7.5009138873610326E-2</v>
      </c>
      <c r="X36" s="60">
        <f t="shared" si="18"/>
        <v>7.5009138873610326E-2</v>
      </c>
      <c r="Y36" s="60">
        <f t="shared" si="18"/>
        <v>7.5009138873610326E-2</v>
      </c>
      <c r="Z36" s="60">
        <f t="shared" si="18"/>
        <v>7.5009138873610326E-2</v>
      </c>
      <c r="AA36" s="60">
        <f t="shared" si="18"/>
        <v>7.5009138873610326E-2</v>
      </c>
      <c r="AB36" s="60">
        <f t="shared" si="18"/>
        <v>7.5009138873610326E-2</v>
      </c>
    </row>
    <row r="37" spans="1:28" ht="16.5" thickBot="1">
      <c r="C37" s="13" t="s">
        <v>96</v>
      </c>
      <c r="D37" s="4"/>
      <c r="E37" s="4"/>
      <c r="F37" s="4"/>
      <c r="G37" s="4"/>
      <c r="H37" s="4"/>
      <c r="I37" s="14"/>
      <c r="J37" s="63" t="s">
        <v>601</v>
      </c>
      <c r="K37" s="63" t="s">
        <v>45</v>
      </c>
      <c r="L37" s="61">
        <f>((L30*L36+L31)/(L34/8760)+L32)/L35</f>
        <v>13.021462501409752</v>
      </c>
      <c r="M37" s="61">
        <f t="shared" ref="M37:AB37" si="19">((M30*M36+M31)/(M34/8760)+M32)/M35</f>
        <v>12.878369506888767</v>
      </c>
      <c r="N37" s="61">
        <f t="shared" si="19"/>
        <v>12.738387229639974</v>
      </c>
      <c r="O37" s="61">
        <f t="shared" si="19"/>
        <v>12.601415323944922</v>
      </c>
      <c r="P37" s="61">
        <f t="shared" si="19"/>
        <v>12.467357714115721</v>
      </c>
      <c r="Q37" s="61">
        <f t="shared" si="19"/>
        <v>12.336122369756609</v>
      </c>
      <c r="R37" s="61">
        <f t="shared" si="19"/>
        <v>12.336122369756609</v>
      </c>
      <c r="S37" s="61">
        <f t="shared" si="19"/>
        <v>12.336122369756609</v>
      </c>
      <c r="T37" s="61">
        <f t="shared" si="19"/>
        <v>12.336122369756609</v>
      </c>
      <c r="U37" s="61">
        <f t="shared" si="19"/>
        <v>12.336122369756609</v>
      </c>
      <c r="V37" s="61">
        <f t="shared" si="19"/>
        <v>12.336122369756609</v>
      </c>
      <c r="W37" s="61">
        <f t="shared" si="19"/>
        <v>12.336122369756609</v>
      </c>
      <c r="X37" s="61">
        <f t="shared" si="19"/>
        <v>12.336122369756609</v>
      </c>
      <c r="Y37" s="61">
        <f t="shared" si="19"/>
        <v>12.336122369756609</v>
      </c>
      <c r="Z37" s="61">
        <f t="shared" si="19"/>
        <v>12.336122369756609</v>
      </c>
      <c r="AA37" s="61">
        <f t="shared" si="19"/>
        <v>12.336122369756609</v>
      </c>
      <c r="AB37" s="61">
        <f t="shared" si="19"/>
        <v>12.336122369756609</v>
      </c>
    </row>
    <row r="38" spans="1:28" ht="16.5" thickTop="1">
      <c r="C38" t="s">
        <v>23</v>
      </c>
      <c r="D38" t="s">
        <v>26</v>
      </c>
      <c r="E38" s="69">
        <v>7.1999999999999995E-2</v>
      </c>
      <c r="F38" t="s">
        <v>26</v>
      </c>
      <c r="G38" s="5">
        <v>7.1999999999999995E-2</v>
      </c>
      <c r="H38" s="64" t="s">
        <v>49</v>
      </c>
      <c r="I38" s="15"/>
      <c r="J38" t="s">
        <v>23</v>
      </c>
      <c r="K38" t="s">
        <v>45</v>
      </c>
      <c r="L38" s="60">
        <f>$G$38*L4*B18</f>
        <v>2.9735999999999994</v>
      </c>
      <c r="M38" s="60">
        <f t="shared" ref="M38:AB38" si="20">$G$38*M4</f>
        <v>2.9735999999999994</v>
      </c>
      <c r="N38" s="60">
        <f t="shared" si="20"/>
        <v>2.9735999999999994</v>
      </c>
      <c r="O38" s="60">
        <f t="shared" si="20"/>
        <v>2.8187999999999995</v>
      </c>
      <c r="P38" s="60">
        <f t="shared" si="20"/>
        <v>2.6639999999999997</v>
      </c>
      <c r="Q38" s="60">
        <f t="shared" si="20"/>
        <v>1.9403999999999999</v>
      </c>
      <c r="R38" s="60">
        <f t="shared" si="20"/>
        <v>1.2167999999999999</v>
      </c>
      <c r="S38" s="60">
        <f t="shared" si="20"/>
        <v>1.17</v>
      </c>
      <c r="T38" s="60">
        <f t="shared" si="20"/>
        <v>1.1232</v>
      </c>
      <c r="U38" s="60">
        <f t="shared" si="20"/>
        <v>1.0763999999999998</v>
      </c>
      <c r="V38" s="60">
        <f t="shared" si="20"/>
        <v>1.0296000000000001</v>
      </c>
      <c r="W38" s="60">
        <f t="shared" si="20"/>
        <v>1.0296000000000001</v>
      </c>
      <c r="X38" s="60">
        <f t="shared" si="20"/>
        <v>1.0296000000000001</v>
      </c>
      <c r="Y38" s="60">
        <f t="shared" si="20"/>
        <v>1.0296000000000001</v>
      </c>
      <c r="Z38" s="60">
        <f t="shared" si="20"/>
        <v>1.0296000000000001</v>
      </c>
      <c r="AA38" s="60">
        <f t="shared" si="20"/>
        <v>1.0296000000000001</v>
      </c>
      <c r="AB38" s="60">
        <f t="shared" si="20"/>
        <v>1.0296000000000001</v>
      </c>
    </row>
    <row r="39" spans="1:28" ht="15.75">
      <c r="C39" t="s">
        <v>24</v>
      </c>
      <c r="D39" t="s">
        <v>27</v>
      </c>
      <c r="E39" s="69">
        <v>0</v>
      </c>
      <c r="F39" t="s">
        <v>27</v>
      </c>
      <c r="G39" s="5">
        <v>0</v>
      </c>
      <c r="H39" s="64"/>
      <c r="I39" s="15"/>
      <c r="J39" t="s">
        <v>24</v>
      </c>
      <c r="K39" t="s">
        <v>45</v>
      </c>
      <c r="L39" s="60">
        <f t="shared" ref="L39:L40" si="21">G39</f>
        <v>0</v>
      </c>
      <c r="M39" s="60">
        <f t="shared" ref="M39:AB40" si="22">L39</f>
        <v>0</v>
      </c>
      <c r="N39" s="60">
        <f t="shared" si="22"/>
        <v>0</v>
      </c>
      <c r="O39" s="60">
        <f t="shared" si="22"/>
        <v>0</v>
      </c>
      <c r="P39" s="60">
        <f t="shared" si="22"/>
        <v>0</v>
      </c>
      <c r="Q39" s="60">
        <f t="shared" si="22"/>
        <v>0</v>
      </c>
      <c r="R39" s="60">
        <f t="shared" si="22"/>
        <v>0</v>
      </c>
      <c r="S39" s="60">
        <f t="shared" si="22"/>
        <v>0</v>
      </c>
      <c r="T39" s="60">
        <f t="shared" si="22"/>
        <v>0</v>
      </c>
      <c r="U39" s="60">
        <f t="shared" si="22"/>
        <v>0</v>
      </c>
      <c r="V39" s="60">
        <f t="shared" si="22"/>
        <v>0</v>
      </c>
      <c r="W39" s="60">
        <f t="shared" si="22"/>
        <v>0</v>
      </c>
      <c r="X39" s="60">
        <f t="shared" si="22"/>
        <v>0</v>
      </c>
      <c r="Y39" s="60">
        <f t="shared" si="22"/>
        <v>0</v>
      </c>
      <c r="Z39" s="60">
        <f t="shared" si="22"/>
        <v>0</v>
      </c>
      <c r="AA39" s="60">
        <f t="shared" si="22"/>
        <v>0</v>
      </c>
      <c r="AB39" s="60">
        <f t="shared" si="22"/>
        <v>0</v>
      </c>
    </row>
    <row r="40" spans="1:28" ht="15.75">
      <c r="C40" t="s">
        <v>25</v>
      </c>
      <c r="D40" t="s">
        <v>27</v>
      </c>
      <c r="E40" s="69">
        <v>0</v>
      </c>
      <c r="F40" t="s">
        <v>27</v>
      </c>
      <c r="G40" s="5">
        <v>0</v>
      </c>
      <c r="H40" s="64"/>
      <c r="I40" s="15"/>
      <c r="J40" t="s">
        <v>25</v>
      </c>
      <c r="K40" t="s">
        <v>45</v>
      </c>
      <c r="L40" s="60">
        <f t="shared" si="21"/>
        <v>0</v>
      </c>
      <c r="M40" s="60">
        <f t="shared" si="22"/>
        <v>0</v>
      </c>
      <c r="N40" s="60">
        <f t="shared" si="22"/>
        <v>0</v>
      </c>
      <c r="O40" s="60">
        <f t="shared" si="22"/>
        <v>0</v>
      </c>
      <c r="P40" s="60">
        <f t="shared" si="22"/>
        <v>0</v>
      </c>
      <c r="Q40" s="60">
        <f t="shared" si="22"/>
        <v>0</v>
      </c>
      <c r="R40" s="60">
        <f t="shared" si="22"/>
        <v>0</v>
      </c>
      <c r="S40" s="60">
        <f t="shared" si="22"/>
        <v>0</v>
      </c>
      <c r="T40" s="60">
        <f t="shared" si="22"/>
        <v>0</v>
      </c>
      <c r="U40" s="60">
        <f t="shared" si="22"/>
        <v>0</v>
      </c>
      <c r="V40" s="60">
        <f t="shared" si="22"/>
        <v>0</v>
      </c>
      <c r="W40" s="60">
        <f t="shared" si="22"/>
        <v>0</v>
      </c>
      <c r="X40" s="60">
        <f t="shared" si="22"/>
        <v>0</v>
      </c>
      <c r="Y40" s="60">
        <f t="shared" si="22"/>
        <v>0</v>
      </c>
      <c r="Z40" s="60">
        <f t="shared" si="22"/>
        <v>0</v>
      </c>
      <c r="AA40" s="60">
        <f t="shared" si="22"/>
        <v>0</v>
      </c>
      <c r="AB40" s="60">
        <f t="shared" si="22"/>
        <v>0</v>
      </c>
    </row>
    <row r="41" spans="1:28" ht="16.5" thickBot="1">
      <c r="C41" s="13" t="s">
        <v>97</v>
      </c>
      <c r="D41" s="4"/>
      <c r="E41" s="4"/>
      <c r="F41" s="4"/>
      <c r="G41" s="4"/>
      <c r="H41" s="4"/>
      <c r="I41" s="14"/>
      <c r="J41" s="63" t="s">
        <v>600</v>
      </c>
      <c r="K41" s="63" t="s">
        <v>45</v>
      </c>
      <c r="L41" s="61">
        <f>L37+L38*L$3</f>
        <v>15.697702501409752</v>
      </c>
      <c r="M41" s="61">
        <f t="shared" ref="M41:AB41" si="23">M37+M38*M$3</f>
        <v>15.584345506888766</v>
      </c>
      <c r="N41" s="61">
        <f t="shared" si="23"/>
        <v>15.474099229639974</v>
      </c>
      <c r="O41" s="61">
        <f t="shared" si="23"/>
        <v>15.222899323944922</v>
      </c>
      <c r="P41" s="61">
        <f t="shared" si="23"/>
        <v>14.97151771411572</v>
      </c>
      <c r="Q41" s="61">
        <f t="shared" si="23"/>
        <v>14.179502369756609</v>
      </c>
      <c r="R41" s="61">
        <f t="shared" si="23"/>
        <v>13.492082369756609</v>
      </c>
      <c r="S41" s="61">
        <f t="shared" si="23"/>
        <v>13.447622369756608</v>
      </c>
      <c r="T41" s="61">
        <f t="shared" si="23"/>
        <v>13.403162369756609</v>
      </c>
      <c r="U41" s="61">
        <f t="shared" si="23"/>
        <v>13.358702369756609</v>
      </c>
      <c r="V41" s="61">
        <f t="shared" si="23"/>
        <v>13.314242369756609</v>
      </c>
      <c r="W41" s="61">
        <f t="shared" si="23"/>
        <v>13.314242369756609</v>
      </c>
      <c r="X41" s="61">
        <f t="shared" si="23"/>
        <v>13.314242369756609</v>
      </c>
      <c r="Y41" s="61">
        <f t="shared" si="23"/>
        <v>13.314242369756609</v>
      </c>
      <c r="Z41" s="61">
        <f t="shared" si="23"/>
        <v>13.314242369756609</v>
      </c>
      <c r="AA41" s="61">
        <f t="shared" si="23"/>
        <v>13.314242369756609</v>
      </c>
      <c r="AB41" s="61">
        <f t="shared" si="23"/>
        <v>13.314242369756609</v>
      </c>
    </row>
    <row r="42" spans="1:28" ht="15.75" thickTop="1">
      <c r="C42" t="s">
        <v>47</v>
      </c>
      <c r="D42" t="s">
        <v>48</v>
      </c>
      <c r="E42" s="5">
        <v>22</v>
      </c>
      <c r="F42" t="s">
        <v>48</v>
      </c>
      <c r="G42" s="5">
        <v>22</v>
      </c>
      <c r="H42" s="64" t="s">
        <v>49</v>
      </c>
      <c r="I42" s="15"/>
      <c r="J42" t="s">
        <v>47</v>
      </c>
      <c r="K42" t="s">
        <v>48</v>
      </c>
      <c r="L42" s="11">
        <f>G42</f>
        <v>22</v>
      </c>
      <c r="M42" s="11">
        <f>L42</f>
        <v>22</v>
      </c>
      <c r="N42" s="11">
        <f t="shared" ref="N42:AB42" si="24">M42</f>
        <v>22</v>
      </c>
      <c r="O42" s="11">
        <f t="shared" si="24"/>
        <v>22</v>
      </c>
      <c r="P42" s="11">
        <f t="shared" si="24"/>
        <v>22</v>
      </c>
      <c r="Q42" s="11">
        <f t="shared" si="24"/>
        <v>22</v>
      </c>
      <c r="R42" s="11">
        <f t="shared" si="24"/>
        <v>22</v>
      </c>
      <c r="S42" s="11">
        <f t="shared" si="24"/>
        <v>22</v>
      </c>
      <c r="T42" s="11">
        <f t="shared" si="24"/>
        <v>22</v>
      </c>
      <c r="U42" s="11">
        <f t="shared" si="24"/>
        <v>22</v>
      </c>
      <c r="V42" s="11">
        <f t="shared" si="24"/>
        <v>22</v>
      </c>
      <c r="W42" s="11">
        <f t="shared" si="24"/>
        <v>22</v>
      </c>
      <c r="X42" s="11">
        <f t="shared" si="24"/>
        <v>22</v>
      </c>
      <c r="Y42" s="11">
        <f t="shared" si="24"/>
        <v>22</v>
      </c>
      <c r="Z42" s="11">
        <f t="shared" si="24"/>
        <v>22</v>
      </c>
      <c r="AA42" s="11">
        <f t="shared" si="24"/>
        <v>22</v>
      </c>
      <c r="AB42" s="11">
        <f t="shared" si="24"/>
        <v>22</v>
      </c>
    </row>
    <row r="43" spans="1:28">
      <c r="I43" s="15"/>
      <c r="L43" s="11"/>
      <c r="M43" s="11"/>
      <c r="N43" s="11"/>
      <c r="O43" s="11"/>
      <c r="P43" s="11"/>
      <c r="Q43" s="11"/>
      <c r="R43" s="11"/>
      <c r="S43" s="11"/>
      <c r="T43" s="11"/>
      <c r="U43" s="11"/>
      <c r="V43" s="11"/>
      <c r="W43" s="11"/>
      <c r="X43" s="11"/>
      <c r="Y43" s="11"/>
      <c r="Z43" s="11"/>
      <c r="AA43" s="11"/>
      <c r="AB43" s="11"/>
    </row>
    <row r="44" spans="1:28" ht="16.5" thickBot="1">
      <c r="I44" s="15"/>
      <c r="J44" s="63" t="s">
        <v>597</v>
      </c>
      <c r="K44" s="63" t="s">
        <v>45</v>
      </c>
      <c r="L44" s="61">
        <f>L41+DAC!L21</f>
        <v>175.6902707930127</v>
      </c>
      <c r="M44" s="61">
        <f>M41+DAC!M21</f>
        <v>164.38845949034032</v>
      </c>
      <c r="N44" s="61">
        <f>N41+DAC!N21</f>
        <v>130.51689796522302</v>
      </c>
      <c r="O44" s="61">
        <f>O41+DAC!O21</f>
        <v>114.16808038926678</v>
      </c>
      <c r="P44" s="61">
        <f>P41+DAC!P21</f>
        <v>82.030100871074723</v>
      </c>
      <c r="Q44" s="61">
        <f>Q41+DAC!Q21</f>
        <v>68.361970444214975</v>
      </c>
      <c r="R44" s="61">
        <f>R41+DAC!R21</f>
        <v>53.374531327363769</v>
      </c>
      <c r="S44" s="61">
        <f>S41+DAC!S21</f>
        <v>50.62837470737788</v>
      </c>
      <c r="T44" s="61">
        <f>T41+DAC!T21</f>
        <v>48.822570194908302</v>
      </c>
      <c r="U44" s="61">
        <f>U41+DAC!U21</f>
        <v>47.806350821275345</v>
      </c>
      <c r="V44" s="61">
        <f>V41+DAC!V21</f>
        <v>46.983878619396378</v>
      </c>
      <c r="W44" s="61">
        <f>W41+DAC!W21</f>
        <v>46.732742297089686</v>
      </c>
      <c r="X44" s="61">
        <f>X41+DAC!X21</f>
        <v>46.364352695202911</v>
      </c>
      <c r="Y44" s="61">
        <f>Y41+DAC!Y21</f>
        <v>45.881864391941619</v>
      </c>
      <c r="Z44" s="61">
        <f>Z41+DAC!Z21</f>
        <v>45.478618103876926</v>
      </c>
      <c r="AA44" s="61">
        <f>AA41+DAC!AA21</f>
        <v>45.307136276184998</v>
      </c>
      <c r="AB44" s="61">
        <f>AB41+DAC!AB21</f>
        <v>45.19941277369395</v>
      </c>
    </row>
    <row r="45" spans="1:28" ht="15.75" thickTop="1"/>
    <row r="48" spans="1:28">
      <c r="A48" t="s">
        <v>752</v>
      </c>
    </row>
    <row r="49" spans="2:24">
      <c r="B49" t="s">
        <v>14</v>
      </c>
      <c r="H49" t="s">
        <v>19</v>
      </c>
      <c r="N49" t="s">
        <v>15</v>
      </c>
      <c r="T49" t="s">
        <v>653</v>
      </c>
    </row>
    <row r="50" spans="2:24">
      <c r="C50" t="s">
        <v>41</v>
      </c>
      <c r="D50" t="s">
        <v>43</v>
      </c>
      <c r="I50" t="s">
        <v>41</v>
      </c>
      <c r="J50" t="s">
        <v>43</v>
      </c>
      <c r="O50" t="s">
        <v>41</v>
      </c>
      <c r="P50" t="s">
        <v>43</v>
      </c>
      <c r="U50" t="s">
        <v>41</v>
      </c>
      <c r="V50" t="s">
        <v>43</v>
      </c>
    </row>
    <row r="51" spans="2:24">
      <c r="C51" s="11">
        <f>L24</f>
        <v>167.56853394382247</v>
      </c>
      <c r="D51" s="11">
        <f>L44</f>
        <v>175.6902707930127</v>
      </c>
      <c r="I51" s="11">
        <f>L24</f>
        <v>167.56853394382247</v>
      </c>
      <c r="J51" s="11">
        <f>L44</f>
        <v>175.6902707930127</v>
      </c>
      <c r="O51" s="11">
        <f>L24</f>
        <v>167.56853394382247</v>
      </c>
      <c r="P51" s="11">
        <f>L44</f>
        <v>175.6902707930127</v>
      </c>
      <c r="U51" s="11">
        <f>L24</f>
        <v>167.56853394382247</v>
      </c>
      <c r="V51" s="11">
        <f>L44</f>
        <v>175.6902707930127</v>
      </c>
    </row>
    <row r="52" spans="2:24">
      <c r="B52">
        <v>0.5</v>
      </c>
      <c r="C52">
        <f t="dataTable" ref="C52:D56" dt2D="0" dtr="0" r1="B10"/>
        <v>166.00946125359593</v>
      </c>
      <c r="D52">
        <v>171.2580498593687</v>
      </c>
      <c r="E52">
        <f>C52/C$51</f>
        <v>0.99069591018353587</v>
      </c>
      <c r="F52">
        <f>D52/D$51</f>
        <v>0.97477253058101454</v>
      </c>
      <c r="H52">
        <v>0.5</v>
      </c>
      <c r="I52">
        <f t="dataTable" ref="I52:J56" dt2D="0" dtr="0" r1="B11" ca="1"/>
        <v>166.67774380793924</v>
      </c>
      <c r="J52">
        <v>173.6117604759518</v>
      </c>
      <c r="K52">
        <f>I52/I$51</f>
        <v>0.99468402500804909</v>
      </c>
      <c r="L52">
        <f>J52/J$51</f>
        <v>0.9881694626135008</v>
      </c>
      <c r="N52">
        <v>0.5</v>
      </c>
      <c r="O52">
        <f t="dataTable" ref="O52:P56" dt2D="0" dtr="0" r1="B13" ca="1"/>
        <v>168.37432196366782</v>
      </c>
      <c r="P52">
        <v>177.98101102085874</v>
      </c>
      <c r="Q52">
        <f>O52/O$51</f>
        <v>1.0048087072249225</v>
      </c>
      <c r="R52">
        <f>P52/P$51</f>
        <v>1.0130385149815431</v>
      </c>
      <c r="T52">
        <v>0.5</v>
      </c>
      <c r="U52">
        <f t="dataTable" ref="U52:V56" dt2D="0" dtr="0" r1="B18" ca="1"/>
        <v>166.23041394382247</v>
      </c>
      <c r="V52">
        <v>174.3521507930127</v>
      </c>
      <c r="W52">
        <f>U52/U$51</f>
        <v>0.99201449121439111</v>
      </c>
      <c r="X52">
        <f>V52/V$51</f>
        <v>0.99238364199702045</v>
      </c>
    </row>
    <row r="53" spans="2:24">
      <c r="B53">
        <v>0.75</v>
      </c>
      <c r="C53">
        <v>166.78899759870922</v>
      </c>
      <c r="D53">
        <v>173.47416032619071</v>
      </c>
      <c r="E53">
        <f t="shared" ref="E53:E56" si="25">C53/C$51</f>
        <v>0.99534795509176799</v>
      </c>
      <c r="F53">
        <f t="shared" ref="F53:F56" si="26">D53/D$51</f>
        <v>0.98738626529050733</v>
      </c>
      <c r="H53">
        <v>0.75</v>
      </c>
      <c r="I53">
        <v>167.12313887588084</v>
      </c>
      <c r="J53">
        <v>174.65101563448223</v>
      </c>
      <c r="K53">
        <f t="shared" ref="K53:K56" si="27">I53/I$51</f>
        <v>0.99734201250402443</v>
      </c>
      <c r="L53">
        <f t="shared" ref="L53:L56" si="28">J53/J$51</f>
        <v>0.99408473130675035</v>
      </c>
      <c r="N53">
        <v>0.75</v>
      </c>
      <c r="O53">
        <v>167.80038198562295</v>
      </c>
      <c r="P53">
        <v>176.34938165470265</v>
      </c>
      <c r="Q53">
        <f t="shared" ref="Q53:Q56" si="29">O53/O$51</f>
        <v>1.0013836013023674</v>
      </c>
      <c r="R53">
        <f t="shared" ref="R53:R56" si="30">P53/P$51</f>
        <v>1.003751550149675</v>
      </c>
      <c r="T53">
        <v>0.75</v>
      </c>
      <c r="U53">
        <v>166.89947394382247</v>
      </c>
      <c r="V53">
        <v>175.0212107930127</v>
      </c>
      <c r="W53">
        <f t="shared" ref="W53:W56" si="31">U53/U$51</f>
        <v>0.99600724560719556</v>
      </c>
      <c r="X53">
        <f t="shared" ref="X53:X56" si="32">V53/V$51</f>
        <v>0.99619182099851022</v>
      </c>
    </row>
    <row r="54" spans="2:24">
      <c r="B54">
        <v>1</v>
      </c>
      <c r="C54">
        <v>167.56853394382247</v>
      </c>
      <c r="D54">
        <v>175.6902707930127</v>
      </c>
      <c r="E54">
        <f t="shared" si="25"/>
        <v>1</v>
      </c>
      <c r="F54">
        <f t="shared" si="26"/>
        <v>1</v>
      </c>
      <c r="H54">
        <v>1</v>
      </c>
      <c r="I54">
        <v>167.56853394382247</v>
      </c>
      <c r="J54">
        <v>175.6902707930127</v>
      </c>
      <c r="K54">
        <f t="shared" si="27"/>
        <v>1</v>
      </c>
      <c r="L54">
        <f t="shared" si="28"/>
        <v>1</v>
      </c>
      <c r="N54">
        <v>1</v>
      </c>
      <c r="O54">
        <v>167.56853394382247</v>
      </c>
      <c r="P54">
        <v>175.6902707930127</v>
      </c>
      <c r="Q54">
        <f t="shared" si="29"/>
        <v>1</v>
      </c>
      <c r="R54">
        <f t="shared" si="30"/>
        <v>1</v>
      </c>
      <c r="T54">
        <v>1</v>
      </c>
      <c r="U54">
        <v>167.56853394382247</v>
      </c>
      <c r="V54">
        <v>175.6902707930127</v>
      </c>
      <c r="W54">
        <f t="shared" si="31"/>
        <v>1</v>
      </c>
      <c r="X54">
        <f t="shared" si="32"/>
        <v>1</v>
      </c>
    </row>
    <row r="55" spans="2:24">
      <c r="B55">
        <v>1.25</v>
      </c>
      <c r="C55">
        <v>168.34807028893573</v>
      </c>
      <c r="D55">
        <v>177.90638125983469</v>
      </c>
      <c r="E55">
        <f t="shared" si="25"/>
        <v>1.0046520449082319</v>
      </c>
      <c r="F55">
        <f t="shared" si="26"/>
        <v>1.0126137347094926</v>
      </c>
      <c r="H55">
        <v>1.25</v>
      </c>
      <c r="I55">
        <v>168.01392901176408</v>
      </c>
      <c r="J55">
        <v>176.72952595154314</v>
      </c>
      <c r="K55">
        <f t="shared" si="27"/>
        <v>1.0026579874959753</v>
      </c>
      <c r="L55">
        <f t="shared" si="28"/>
        <v>1.0059152686932495</v>
      </c>
      <c r="N55">
        <v>1.25</v>
      </c>
      <c r="O55">
        <v>167.46255946018451</v>
      </c>
      <c r="P55">
        <v>175.38900047524191</v>
      </c>
      <c r="Q55">
        <f t="shared" si="29"/>
        <v>0.99936757527714903</v>
      </c>
      <c r="R55">
        <f t="shared" si="30"/>
        <v>0.99828521911651147</v>
      </c>
      <c r="T55">
        <v>1.25</v>
      </c>
      <c r="U55">
        <v>168.23759394382247</v>
      </c>
      <c r="V55">
        <v>176.3593307930127</v>
      </c>
      <c r="W55">
        <f t="shared" si="31"/>
        <v>1.0039927543928044</v>
      </c>
      <c r="X55">
        <f t="shared" si="32"/>
        <v>1.0038081790014897</v>
      </c>
    </row>
    <row r="56" spans="2:24">
      <c r="B56">
        <v>1.5</v>
      </c>
      <c r="C56">
        <v>169.12760663404899</v>
      </c>
      <c r="D56">
        <v>180.12249172665668</v>
      </c>
      <c r="E56">
        <f t="shared" si="25"/>
        <v>1.009304089816464</v>
      </c>
      <c r="F56">
        <f t="shared" si="26"/>
        <v>1.0252274694189853</v>
      </c>
      <c r="H56">
        <v>1.5</v>
      </c>
      <c r="I56">
        <v>168.45932407970571</v>
      </c>
      <c r="J56">
        <v>177.76878111007358</v>
      </c>
      <c r="K56">
        <f t="shared" si="27"/>
        <v>1.0053159749919509</v>
      </c>
      <c r="L56">
        <f t="shared" si="28"/>
        <v>1.0118305373864991</v>
      </c>
      <c r="N56">
        <v>1.5</v>
      </c>
      <c r="O56">
        <v>167.41140216493037</v>
      </c>
      <c r="P56">
        <v>175.24356759301943</v>
      </c>
      <c r="Q56">
        <f t="shared" si="29"/>
        <v>0.99906228350159831</v>
      </c>
      <c r="R56">
        <f t="shared" si="30"/>
        <v>0.99745743917419571</v>
      </c>
      <c r="T56">
        <v>1.5</v>
      </c>
      <c r="U56">
        <v>168.90665394382248</v>
      </c>
      <c r="V56">
        <v>177.02839079301268</v>
      </c>
      <c r="W56">
        <f t="shared" si="31"/>
        <v>1.0079855087856089</v>
      </c>
      <c r="X56">
        <f t="shared" si="32"/>
        <v>1.0076163580029793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0B64-79FF-C944-AE49-44F3F0343182}">
  <sheetPr>
    <tabColor theme="7" tint="0.59999389629810485"/>
  </sheetPr>
  <dimension ref="A2:AI97"/>
  <sheetViews>
    <sheetView topLeftCell="A91" zoomScaleNormal="80" workbookViewId="0">
      <selection activeCell="J117" sqref="J117"/>
    </sheetView>
  </sheetViews>
  <sheetFormatPr defaultColWidth="11.5546875" defaultRowHeight="15"/>
  <sheetData>
    <row r="2" spans="1: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1: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1: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5" spans="1:28">
      <c r="J5" t="s">
        <v>286</v>
      </c>
      <c r="K5" t="s">
        <v>18</v>
      </c>
      <c r="L5" s="11">
        <f>'Heat Pump'!L21</f>
        <v>31.307805855611274</v>
      </c>
      <c r="M5" s="11">
        <f>'Heat Pump'!M21</f>
        <v>30.416236560494667</v>
      </c>
      <c r="N5" s="11">
        <f>'Heat Pump'!N21</f>
        <v>29.585615229120528</v>
      </c>
      <c r="O5" s="11">
        <f>'Heat Pump'!O21</f>
        <v>27.849748754278188</v>
      </c>
      <c r="P5" s="11">
        <f>'Heat Pump'!P21</f>
        <v>23.919621590160457</v>
      </c>
      <c r="Q5" s="11">
        <f>'Heat Pump'!Q21</f>
        <v>19.200512394758157</v>
      </c>
      <c r="R5" s="11">
        <f>'Heat Pump'!R21</f>
        <v>14.27121729113917</v>
      </c>
      <c r="S5" s="11">
        <f>'Heat Pump'!S21</f>
        <v>13.804357412106913</v>
      </c>
      <c r="T5" s="11">
        <f>'Heat Pump'!T21</f>
        <v>13.36579207119782</v>
      </c>
      <c r="U5" s="11">
        <f>'Heat Pump'!U21</f>
        <v>12.953024691518676</v>
      </c>
      <c r="V5" s="11">
        <f>'Heat Pump'!V21</f>
        <v>12.563844019249771</v>
      </c>
      <c r="W5" s="11">
        <f>'Heat Pump'!W21</f>
        <v>12.563844019249771</v>
      </c>
      <c r="X5" s="11">
        <f>'Heat Pump'!X21</f>
        <v>12.563844019249771</v>
      </c>
      <c r="Y5" s="11">
        <f>'Heat Pump'!Y21</f>
        <v>12.563844019249771</v>
      </c>
      <c r="Z5" s="11">
        <f>'Heat Pump'!Z21</f>
        <v>12.563844019249771</v>
      </c>
      <c r="AA5" s="11">
        <f>'Heat Pump'!AA21</f>
        <v>12.563844019249771</v>
      </c>
      <c r="AB5" s="11">
        <f>'Heat Pump'!AB21</f>
        <v>12.563844019249771</v>
      </c>
    </row>
    <row r="6" spans="1:28">
      <c r="J6" t="s">
        <v>103</v>
      </c>
      <c r="K6" t="s">
        <v>18</v>
      </c>
      <c r="L6" s="8">
        <f>L4</f>
        <v>41.3</v>
      </c>
      <c r="M6" s="8">
        <f t="shared" ref="M6:AB6" si="0">M4</f>
        <v>41.3</v>
      </c>
      <c r="N6" s="8">
        <f t="shared" si="0"/>
        <v>41.3</v>
      </c>
      <c r="O6" s="8">
        <f t="shared" si="0"/>
        <v>39.15</v>
      </c>
      <c r="P6" s="8">
        <f t="shared" si="0"/>
        <v>37</v>
      </c>
      <c r="Q6" s="8">
        <f t="shared" si="0"/>
        <v>26.95</v>
      </c>
      <c r="R6" s="8">
        <f t="shared" si="0"/>
        <v>16.899999999999999</v>
      </c>
      <c r="S6" s="8">
        <f t="shared" si="0"/>
        <v>16.25</v>
      </c>
      <c r="T6" s="8">
        <f t="shared" si="0"/>
        <v>15.6</v>
      </c>
      <c r="U6" s="8">
        <f t="shared" si="0"/>
        <v>14.95</v>
      </c>
      <c r="V6" s="8">
        <f t="shared" si="0"/>
        <v>14.3</v>
      </c>
      <c r="W6" s="8">
        <f t="shared" si="0"/>
        <v>14.3</v>
      </c>
      <c r="X6" s="8">
        <f t="shared" si="0"/>
        <v>14.3</v>
      </c>
      <c r="Y6" s="8">
        <f t="shared" si="0"/>
        <v>14.3</v>
      </c>
      <c r="Z6" s="8">
        <f t="shared" si="0"/>
        <v>14.3</v>
      </c>
      <c r="AA6" s="8">
        <f t="shared" si="0"/>
        <v>14.3</v>
      </c>
      <c r="AB6" s="8">
        <f t="shared" si="0"/>
        <v>14.3</v>
      </c>
    </row>
    <row r="7" spans="1:28">
      <c r="J7" t="s">
        <v>630</v>
      </c>
      <c r="K7" t="s">
        <v>631</v>
      </c>
      <c r="L7" s="8">
        <f>Mining!L19+Transport!L19*200+Comminution!L19</f>
        <v>31.268959979997803</v>
      </c>
      <c r="M7" s="8">
        <f>Mining!M19+Transport!M19*200+Comminution!M19</f>
        <v>31.268959979997803</v>
      </c>
      <c r="N7" s="8">
        <f>Mining!N19+Transport!N19*200+Comminution!N19</f>
        <v>31.268959979997803</v>
      </c>
      <c r="O7" s="8">
        <f>Mining!O19+Transport!O19*200+Comminution!O19</f>
        <v>30.389571279997803</v>
      </c>
      <c r="P7" s="8">
        <f>Mining!P19+Transport!P19*200+Comminution!P19</f>
        <v>29.510182579997803</v>
      </c>
      <c r="Q7" s="8">
        <f>Mining!Q19+Transport!Q19*200+Comminution!Q19</f>
        <v>25.399551679997799</v>
      </c>
      <c r="R7" s="8">
        <f>Mining!R19+Transport!R19*200+Comminution!R19</f>
        <v>21.288920779997799</v>
      </c>
      <c r="S7" s="8">
        <f>Mining!S19+Transport!S19*200+Comminution!S19</f>
        <v>21.023059079997804</v>
      </c>
      <c r="T7" s="8">
        <f>Mining!T19+Transport!T19*200+Comminution!T19</f>
        <v>20.757197379997798</v>
      </c>
      <c r="U7" s="8">
        <f>Mining!U19+Transport!U19*200+Comminution!U19</f>
        <v>20.4913356799978</v>
      </c>
      <c r="V7" s="8">
        <f>Mining!V19+Transport!V19*200+Comminution!V19</f>
        <v>20.225473979997805</v>
      </c>
      <c r="W7" s="8">
        <f>Mining!W19+Transport!W19*200+Comminution!W19</f>
        <v>20.225473979997805</v>
      </c>
      <c r="X7" s="8">
        <f>Mining!X19+Transport!X19*200+Comminution!X19</f>
        <v>20.225473979997805</v>
      </c>
      <c r="Y7" s="8">
        <f>Mining!Y19+Transport!Y19*200+Comminution!Y19</f>
        <v>20.225473979997805</v>
      </c>
      <c r="Z7" s="8">
        <f>Mining!Z19+Transport!Z19*200+Comminution!Z19</f>
        <v>20.225473979997805</v>
      </c>
      <c r="AA7" s="8">
        <f>Mining!AA19+Transport!AA19*200+Comminution!AA19</f>
        <v>20.225473979997805</v>
      </c>
      <c r="AB7" s="8">
        <f>Mining!AB19+Transport!AB19*200+Comminution!AB19</f>
        <v>20.225473979997805</v>
      </c>
    </row>
    <row r="8" spans="1:28" ht="20.25" thickBot="1">
      <c r="B8" s="25" t="s">
        <v>756</v>
      </c>
      <c r="C8" s="65" t="s">
        <v>62</v>
      </c>
      <c r="D8" s="65"/>
      <c r="E8" s="65"/>
      <c r="F8" s="65"/>
      <c r="G8" s="65"/>
      <c r="H8" s="65"/>
      <c r="I8" s="65"/>
      <c r="J8" s="65"/>
      <c r="K8" s="65"/>
      <c r="L8" s="65"/>
      <c r="M8" s="65"/>
      <c r="N8" s="65">
        <v>1</v>
      </c>
      <c r="O8" s="65">
        <v>2</v>
      </c>
      <c r="P8" s="65">
        <v>3</v>
      </c>
      <c r="Q8" s="65">
        <v>4</v>
      </c>
      <c r="R8" s="65">
        <v>5</v>
      </c>
      <c r="S8" s="65">
        <v>6</v>
      </c>
      <c r="T8" s="65">
        <v>7</v>
      </c>
      <c r="U8" s="65">
        <v>8</v>
      </c>
      <c r="V8" s="65">
        <v>9</v>
      </c>
      <c r="W8" s="65"/>
      <c r="X8" s="65"/>
      <c r="Y8" s="65"/>
      <c r="Z8" s="65"/>
      <c r="AA8" s="65"/>
      <c r="AB8" s="65"/>
    </row>
    <row r="9" spans="1:28" ht="17.25" thickTop="1" thickBot="1">
      <c r="C9" s="43" t="s">
        <v>8</v>
      </c>
      <c r="D9" s="43" t="s">
        <v>9</v>
      </c>
      <c r="E9" s="43" t="s">
        <v>10</v>
      </c>
      <c r="F9" s="43" t="s">
        <v>11</v>
      </c>
      <c r="G9" s="43" t="s">
        <v>12</v>
      </c>
      <c r="H9" s="43" t="s">
        <v>13</v>
      </c>
      <c r="I9" s="44"/>
      <c r="J9" s="43" t="s">
        <v>8</v>
      </c>
      <c r="K9" s="43" t="s">
        <v>11</v>
      </c>
      <c r="L9" s="43">
        <v>2020</v>
      </c>
      <c r="M9" s="43">
        <v>2025</v>
      </c>
      <c r="N9" s="43">
        <v>2030</v>
      </c>
      <c r="O9" s="43">
        <v>2035</v>
      </c>
      <c r="P9" s="43">
        <v>2040</v>
      </c>
      <c r="Q9" s="43">
        <v>2045</v>
      </c>
      <c r="R9" s="43">
        <v>2050</v>
      </c>
      <c r="S9" s="43">
        <v>2055</v>
      </c>
      <c r="T9" s="43">
        <v>2060</v>
      </c>
      <c r="U9" s="43">
        <v>2065</v>
      </c>
      <c r="V9" s="43">
        <v>2070</v>
      </c>
      <c r="W9" s="43">
        <v>2075</v>
      </c>
      <c r="X9" s="43">
        <v>2080</v>
      </c>
      <c r="Y9" s="43">
        <v>2085</v>
      </c>
      <c r="Z9" s="43">
        <v>2090</v>
      </c>
      <c r="AA9" s="43">
        <v>2095</v>
      </c>
      <c r="AB9" s="43">
        <v>2100</v>
      </c>
    </row>
    <row r="10" spans="1:28" ht="15.75">
      <c r="B10">
        <v>1</v>
      </c>
      <c r="C10" t="s">
        <v>14</v>
      </c>
      <c r="D10" t="s">
        <v>88</v>
      </c>
      <c r="E10" s="67">
        <f>(67.3-18.7-11.2)*10^6/159720</f>
        <v>234.15977961432503</v>
      </c>
      <c r="F10" t="s">
        <v>44</v>
      </c>
      <c r="G10" s="8">
        <f>E10*Conversion!$J$8/Conversion!$L$8*B10</f>
        <v>208.41240860745322</v>
      </c>
      <c r="H10" s="64" t="s">
        <v>91</v>
      </c>
      <c r="I10" s="15"/>
      <c r="J10" t="s">
        <v>14</v>
      </c>
      <c r="K10" t="s">
        <v>45</v>
      </c>
      <c r="L10" s="60">
        <f>L16*G10/L14*8760/L15</f>
        <v>18.238564939472582</v>
      </c>
      <c r="M10" s="60">
        <f>$L10*Learning!M46</f>
        <v>18.238564939472582</v>
      </c>
      <c r="N10" s="60">
        <f>$L10*Learning!N46</f>
        <v>18.238564939472582</v>
      </c>
      <c r="O10" s="60">
        <f>$L10*Learning!O46</f>
        <v>14.333187527665034</v>
      </c>
      <c r="P10" s="60">
        <f>$L10*Learning!P46</f>
        <v>11.276112186448167</v>
      </c>
      <c r="Q10" s="60">
        <f>$L10*Learning!Q46</f>
        <v>8.9124994319379329</v>
      </c>
      <c r="R10" s="60">
        <f>$L10*Learning!R46</f>
        <v>7.1761737396139544</v>
      </c>
      <c r="S10" s="60">
        <f>$L10*Learning!S46</f>
        <v>6.1018386835263083</v>
      </c>
      <c r="T10" s="60">
        <f>$L10*Learning!T46</f>
        <v>5.6378140847279381</v>
      </c>
      <c r="U10" s="60">
        <f>$L10*Learning!U46</f>
        <v>5.5009174321437548</v>
      </c>
      <c r="V10" s="60">
        <f>$L10*Learning!V46</f>
        <v>5.4678023174932875</v>
      </c>
      <c r="W10" s="60">
        <f>$L10*Learning!W46</f>
        <v>5.4602685789131939</v>
      </c>
      <c r="X10" s="60">
        <f>$L10*Learning!X46</f>
        <v>5.4585801514147461</v>
      </c>
      <c r="Y10" s="60">
        <f>$L10*Learning!Y46</f>
        <v>5.458203040251715</v>
      </c>
      <c r="Z10" s="60">
        <f>$L10*Learning!Z46</f>
        <v>5.4581188768256661</v>
      </c>
      <c r="AA10" s="60">
        <f>$L10*Learning!AA46</f>
        <v>5.4581000965029816</v>
      </c>
      <c r="AB10" s="60">
        <f>$L10*Learning!AB46</f>
        <v>5.458095906000568</v>
      </c>
    </row>
    <row r="11" spans="1:28" ht="15.75">
      <c r="B11">
        <v>1</v>
      </c>
      <c r="C11" t="s">
        <v>19</v>
      </c>
      <c r="D11" t="s">
        <v>89</v>
      </c>
      <c r="E11" s="68">
        <v>0.03</v>
      </c>
      <c r="F11" t="s">
        <v>45</v>
      </c>
      <c r="G11" s="8">
        <f>E11*E10*Conversion!$J$8/Conversion!$L$8*B11</f>
        <v>6.2523722582235965</v>
      </c>
      <c r="H11" s="64" t="s">
        <v>91</v>
      </c>
      <c r="I11" s="15"/>
      <c r="J11" t="s">
        <v>19</v>
      </c>
      <c r="K11" t="s">
        <v>45</v>
      </c>
      <c r="L11" s="60">
        <f>G11/E14*8760/L15</f>
        <v>7.5511742249077241</v>
      </c>
      <c r="M11" s="60">
        <f>$L11*Learning!L47</f>
        <v>7.5511742249077241</v>
      </c>
      <c r="N11" s="60">
        <f>$L11*Learning!M47</f>
        <v>7.5511742249077241</v>
      </c>
      <c r="O11" s="60">
        <f>$L11*Learning!N47</f>
        <v>7.5511742249077241</v>
      </c>
      <c r="P11" s="60">
        <f>$L11*Learning!O47</f>
        <v>7.5511742249077241</v>
      </c>
      <c r="Q11" s="60">
        <f>$L11*Learning!P47</f>
        <v>7.5511742249077241</v>
      </c>
      <c r="R11" s="60">
        <f>$L11*Learning!Q47</f>
        <v>7.5511742249077241</v>
      </c>
      <c r="S11" s="60">
        <f>$L11*Learning!R47</f>
        <v>7.5511742249077241</v>
      </c>
      <c r="T11" s="60">
        <f>$L11*Learning!S47</f>
        <v>7.5511742249077241</v>
      </c>
      <c r="U11" s="60">
        <f>$L11*Learning!T47</f>
        <v>7.5511742249077241</v>
      </c>
      <c r="V11" s="60">
        <f>$L11*Learning!U47</f>
        <v>7.5511742249077241</v>
      </c>
      <c r="W11" s="60">
        <f>$L11*Learning!V47</f>
        <v>7.5511742249077241</v>
      </c>
      <c r="X11" s="60">
        <f>$L11*Learning!W47</f>
        <v>7.5511742249077241</v>
      </c>
      <c r="Y11" s="60">
        <f>$L11*Learning!X47</f>
        <v>7.5511742249077241</v>
      </c>
      <c r="Z11" s="60">
        <f>$L11*Learning!Y47</f>
        <v>7.5511742249077241</v>
      </c>
      <c r="AA11" s="60">
        <f>$L11*Learning!Z47</f>
        <v>7.5511742249077241</v>
      </c>
      <c r="AB11" s="60">
        <f>$L11*Learning!AA47</f>
        <v>7.5511742249077241</v>
      </c>
    </row>
    <row r="12" spans="1:28" ht="15.75">
      <c r="A12" t="s">
        <v>90</v>
      </c>
      <c r="B12">
        <v>1</v>
      </c>
      <c r="C12" t="s">
        <v>20</v>
      </c>
      <c r="D12" t="s">
        <v>92</v>
      </c>
      <c r="E12" s="67">
        <f>17.6*0.88</f>
        <v>15.488000000000001</v>
      </c>
      <c r="F12" t="s">
        <v>45</v>
      </c>
      <c r="G12" s="8">
        <f>E12*Conversion!$J$8/Conversion!$L$8*B12</f>
        <v>13.784994971505197</v>
      </c>
      <c r="H12" s="64" t="s">
        <v>91</v>
      </c>
      <c r="I12" s="15"/>
      <c r="J12" t="s">
        <v>20</v>
      </c>
      <c r="K12" t="s">
        <v>45</v>
      </c>
      <c r="L12" s="60">
        <f>G12/G15</f>
        <v>14.983690186418691</v>
      </c>
      <c r="M12" s="60">
        <f t="shared" ref="M12:O16" si="1">L12</f>
        <v>14.983690186418691</v>
      </c>
      <c r="N12" s="60">
        <f t="shared" si="1"/>
        <v>14.983690186418691</v>
      </c>
      <c r="O12" s="60">
        <f t="shared" si="1"/>
        <v>14.983690186418691</v>
      </c>
      <c r="P12" s="60">
        <f t="shared" ref="P12:P16" si="2">O12</f>
        <v>14.983690186418691</v>
      </c>
      <c r="Q12" s="60">
        <f t="shared" ref="Q12:Q16" si="3">P12</f>
        <v>14.983690186418691</v>
      </c>
      <c r="R12" s="60">
        <f t="shared" ref="R12:R16" si="4">Q12</f>
        <v>14.983690186418691</v>
      </c>
      <c r="S12" s="60">
        <f t="shared" ref="S12:S16" si="5">R12</f>
        <v>14.983690186418691</v>
      </c>
      <c r="T12" s="60">
        <f t="shared" ref="T12:T16" si="6">S12</f>
        <v>14.983690186418691</v>
      </c>
      <c r="U12" s="60">
        <f t="shared" ref="U12:U16" si="7">T12</f>
        <v>14.983690186418691</v>
      </c>
      <c r="V12" s="60">
        <f t="shared" ref="V12:V16" si="8">U12</f>
        <v>14.983690186418691</v>
      </c>
      <c r="W12" s="60">
        <f t="shared" ref="W12:W16" si="9">V12</f>
        <v>14.983690186418691</v>
      </c>
      <c r="X12" s="60">
        <f t="shared" ref="X12:X16" si="10">W12</f>
        <v>14.983690186418691</v>
      </c>
      <c r="Y12" s="60">
        <f t="shared" ref="Y12:Y16" si="11">X12</f>
        <v>14.983690186418691</v>
      </c>
      <c r="Z12" s="60">
        <f t="shared" ref="Z12:Z16" si="12">Y12</f>
        <v>14.983690186418691</v>
      </c>
      <c r="AA12" s="60">
        <f t="shared" ref="AA12:AA16" si="13">Z12</f>
        <v>14.983690186418691</v>
      </c>
      <c r="AB12" s="60">
        <f t="shared" ref="AB12:AB16" si="14">AA12</f>
        <v>14.983690186418691</v>
      </c>
    </row>
    <row r="13" spans="1:28" ht="15.75">
      <c r="B13">
        <v>1</v>
      </c>
      <c r="C13" t="s">
        <v>15</v>
      </c>
      <c r="D13" t="s">
        <v>21</v>
      </c>
      <c r="E13" s="69">
        <v>50</v>
      </c>
      <c r="F13" t="s">
        <v>21</v>
      </c>
      <c r="G13">
        <f>E13*B13</f>
        <v>50</v>
      </c>
      <c r="H13" s="64" t="s">
        <v>52</v>
      </c>
      <c r="I13" s="15"/>
      <c r="J13" t="s">
        <v>15</v>
      </c>
      <c r="K13" t="s">
        <v>21</v>
      </c>
      <c r="L13" s="60">
        <f>G13</f>
        <v>50</v>
      </c>
      <c r="M13" s="60">
        <f t="shared" si="1"/>
        <v>50</v>
      </c>
      <c r="N13" s="60">
        <f t="shared" si="1"/>
        <v>50</v>
      </c>
      <c r="O13" s="60">
        <f t="shared" si="1"/>
        <v>50</v>
      </c>
      <c r="P13" s="60">
        <f t="shared" si="2"/>
        <v>50</v>
      </c>
      <c r="Q13" s="60">
        <f t="shared" si="3"/>
        <v>50</v>
      </c>
      <c r="R13" s="60">
        <f t="shared" si="4"/>
        <v>50</v>
      </c>
      <c r="S13" s="60">
        <f t="shared" si="5"/>
        <v>50</v>
      </c>
      <c r="T13" s="60">
        <f t="shared" si="6"/>
        <v>50</v>
      </c>
      <c r="U13" s="60">
        <f t="shared" si="7"/>
        <v>50</v>
      </c>
      <c r="V13" s="60">
        <f t="shared" si="8"/>
        <v>50</v>
      </c>
      <c r="W13" s="60">
        <f t="shared" si="9"/>
        <v>50</v>
      </c>
      <c r="X13" s="60">
        <f t="shared" si="10"/>
        <v>50</v>
      </c>
      <c r="Y13" s="60">
        <f t="shared" si="11"/>
        <v>50</v>
      </c>
      <c r="Z13" s="60">
        <f t="shared" si="12"/>
        <v>50</v>
      </c>
      <c r="AA13" s="60">
        <f t="shared" si="13"/>
        <v>50</v>
      </c>
      <c r="AB13" s="60">
        <f t="shared" si="14"/>
        <v>50</v>
      </c>
    </row>
    <row r="14" spans="1:28" ht="15.75">
      <c r="C14" t="s">
        <v>16</v>
      </c>
      <c r="D14" t="s">
        <v>22</v>
      </c>
      <c r="E14" s="70">
        <f>L3*8760</f>
        <v>7884</v>
      </c>
      <c r="F14" t="s">
        <v>22</v>
      </c>
      <c r="G14" s="12">
        <f>E14</f>
        <v>7884</v>
      </c>
      <c r="H14" s="64"/>
      <c r="I14" s="15"/>
      <c r="J14" t="s">
        <v>16</v>
      </c>
      <c r="K14" t="s">
        <v>22</v>
      </c>
      <c r="L14" s="60">
        <f>L3*8760</f>
        <v>7884</v>
      </c>
      <c r="M14" s="60">
        <f t="shared" ref="M14:AB14" si="15">M3*8760</f>
        <v>7971.6</v>
      </c>
      <c r="N14" s="60">
        <f t="shared" si="15"/>
        <v>8059.2000000000007</v>
      </c>
      <c r="O14" s="60">
        <f t="shared" si="15"/>
        <v>8146.8</v>
      </c>
      <c r="P14" s="60">
        <f t="shared" si="15"/>
        <v>8234.4</v>
      </c>
      <c r="Q14" s="60">
        <f t="shared" si="15"/>
        <v>8322</v>
      </c>
      <c r="R14" s="60">
        <f t="shared" si="15"/>
        <v>8322</v>
      </c>
      <c r="S14" s="60">
        <f t="shared" si="15"/>
        <v>8322</v>
      </c>
      <c r="T14" s="60">
        <f t="shared" si="15"/>
        <v>8322</v>
      </c>
      <c r="U14" s="60">
        <f t="shared" si="15"/>
        <v>8322</v>
      </c>
      <c r="V14" s="60">
        <f t="shared" si="15"/>
        <v>8322</v>
      </c>
      <c r="W14" s="60">
        <f t="shared" si="15"/>
        <v>8322</v>
      </c>
      <c r="X14" s="60">
        <f t="shared" si="15"/>
        <v>8322</v>
      </c>
      <c r="Y14" s="60">
        <f t="shared" si="15"/>
        <v>8322</v>
      </c>
      <c r="Z14" s="60">
        <f t="shared" si="15"/>
        <v>8322</v>
      </c>
      <c r="AA14" s="60">
        <f t="shared" si="15"/>
        <v>8322</v>
      </c>
      <c r="AB14" s="60">
        <f t="shared" si="15"/>
        <v>8322</v>
      </c>
    </row>
    <row r="15" spans="1:28" ht="15.75">
      <c r="C15" t="s">
        <v>29</v>
      </c>
      <c r="D15" s="2" t="s">
        <v>7</v>
      </c>
      <c r="E15" s="69">
        <v>0.92</v>
      </c>
      <c r="F15" s="2" t="s">
        <v>7</v>
      </c>
      <c r="G15">
        <f>E15</f>
        <v>0.92</v>
      </c>
      <c r="H15" s="64" t="s">
        <v>53</v>
      </c>
      <c r="I15" s="15"/>
      <c r="J15" t="s">
        <v>29</v>
      </c>
      <c r="K15" s="2" t="s">
        <v>7</v>
      </c>
      <c r="L15" s="60">
        <f t="shared" ref="L15" si="16">G15</f>
        <v>0.92</v>
      </c>
      <c r="M15" s="60">
        <f t="shared" si="1"/>
        <v>0.92</v>
      </c>
      <c r="N15" s="60">
        <f t="shared" si="1"/>
        <v>0.92</v>
      </c>
      <c r="O15" s="60">
        <f t="shared" si="1"/>
        <v>0.92</v>
      </c>
      <c r="P15" s="60">
        <f t="shared" si="2"/>
        <v>0.92</v>
      </c>
      <c r="Q15" s="60">
        <f t="shared" si="3"/>
        <v>0.92</v>
      </c>
      <c r="R15" s="60">
        <f t="shared" si="4"/>
        <v>0.92</v>
      </c>
      <c r="S15" s="60">
        <f t="shared" si="5"/>
        <v>0.92</v>
      </c>
      <c r="T15" s="60">
        <f t="shared" si="6"/>
        <v>0.92</v>
      </c>
      <c r="U15" s="60">
        <f t="shared" si="7"/>
        <v>0.92</v>
      </c>
      <c r="V15" s="60">
        <f t="shared" si="8"/>
        <v>0.92</v>
      </c>
      <c r="W15" s="60">
        <f t="shared" si="9"/>
        <v>0.92</v>
      </c>
      <c r="X15" s="60">
        <f t="shared" si="10"/>
        <v>0.92</v>
      </c>
      <c r="Y15" s="60">
        <f t="shared" si="11"/>
        <v>0.92</v>
      </c>
      <c r="Z15" s="60">
        <f t="shared" si="12"/>
        <v>0.92</v>
      </c>
      <c r="AA15" s="60">
        <f t="shared" si="13"/>
        <v>0.92</v>
      </c>
      <c r="AB15" s="60">
        <f t="shared" si="14"/>
        <v>0.92</v>
      </c>
    </row>
    <row r="16" spans="1:28" ht="15.75">
      <c r="D16" s="2"/>
      <c r="F16" s="2"/>
      <c r="H16" s="64"/>
      <c r="I16" s="15"/>
      <c r="J16" t="s">
        <v>17</v>
      </c>
      <c r="K16" s="2" t="s">
        <v>7</v>
      </c>
      <c r="L16" s="60">
        <f>(L$2*(1+L$2)^L13)/((1+L$2)^L13-1)</f>
        <v>7.2459849539607685E-2</v>
      </c>
      <c r="M16" s="60">
        <f t="shared" si="1"/>
        <v>7.2459849539607685E-2</v>
      </c>
      <c r="N16" s="60">
        <f t="shared" si="1"/>
        <v>7.2459849539607685E-2</v>
      </c>
      <c r="O16" s="60">
        <f t="shared" si="1"/>
        <v>7.2459849539607685E-2</v>
      </c>
      <c r="P16" s="60">
        <f t="shared" si="2"/>
        <v>7.2459849539607685E-2</v>
      </c>
      <c r="Q16" s="60">
        <f t="shared" si="3"/>
        <v>7.2459849539607685E-2</v>
      </c>
      <c r="R16" s="60">
        <f t="shared" si="4"/>
        <v>7.2459849539607685E-2</v>
      </c>
      <c r="S16" s="60">
        <f t="shared" si="5"/>
        <v>7.2459849539607685E-2</v>
      </c>
      <c r="T16" s="60">
        <f t="shared" si="6"/>
        <v>7.2459849539607685E-2</v>
      </c>
      <c r="U16" s="60">
        <f t="shared" si="7"/>
        <v>7.2459849539607685E-2</v>
      </c>
      <c r="V16" s="60">
        <f t="shared" si="8"/>
        <v>7.2459849539607685E-2</v>
      </c>
      <c r="W16" s="60">
        <f t="shared" si="9"/>
        <v>7.2459849539607685E-2</v>
      </c>
      <c r="X16" s="60">
        <f t="shared" si="10"/>
        <v>7.2459849539607685E-2</v>
      </c>
      <c r="Y16" s="60">
        <f t="shared" si="11"/>
        <v>7.2459849539607685E-2</v>
      </c>
      <c r="Z16" s="60">
        <f t="shared" si="12"/>
        <v>7.2459849539607685E-2</v>
      </c>
      <c r="AA16" s="60">
        <f t="shared" si="13"/>
        <v>7.2459849539607685E-2</v>
      </c>
      <c r="AB16" s="60">
        <f t="shared" si="14"/>
        <v>7.2459849539607685E-2</v>
      </c>
    </row>
    <row r="17" spans="2:28" ht="16.5" thickBot="1">
      <c r="C17" s="13" t="s">
        <v>96</v>
      </c>
      <c r="D17" s="4"/>
      <c r="E17" s="4"/>
      <c r="F17" s="4"/>
      <c r="G17" s="4"/>
      <c r="H17" s="4"/>
      <c r="I17" s="14"/>
      <c r="J17" s="63" t="s">
        <v>603</v>
      </c>
      <c r="K17" s="63" t="s">
        <v>45</v>
      </c>
      <c r="L17" s="61">
        <f>SUM(L10:L12)</f>
        <v>40.773429350798999</v>
      </c>
      <c r="M17" s="61">
        <f>SUM(M10:M12)</f>
        <v>40.773429350798999</v>
      </c>
      <c r="N17" s="61">
        <f t="shared" ref="N17:O17" si="17">SUM(N10:N12)</f>
        <v>40.773429350798999</v>
      </c>
      <c r="O17" s="61">
        <f t="shared" si="17"/>
        <v>36.868051938991449</v>
      </c>
      <c r="P17" s="61">
        <f t="shared" ref="P17:AB17" si="18">SUM(P10:P12)</f>
        <v>33.810976597774584</v>
      </c>
      <c r="Q17" s="61">
        <f t="shared" si="18"/>
        <v>31.447363843264348</v>
      </c>
      <c r="R17" s="61">
        <f t="shared" si="18"/>
        <v>29.711038150940368</v>
      </c>
      <c r="S17" s="61">
        <f t="shared" si="18"/>
        <v>28.636703094852724</v>
      </c>
      <c r="T17" s="61">
        <f t="shared" si="18"/>
        <v>28.172678496054353</v>
      </c>
      <c r="U17" s="61">
        <f t="shared" si="18"/>
        <v>28.035781843470168</v>
      </c>
      <c r="V17" s="61">
        <f t="shared" si="18"/>
        <v>28.002666728819705</v>
      </c>
      <c r="W17" s="61">
        <f t="shared" si="18"/>
        <v>27.995132990239611</v>
      </c>
      <c r="X17" s="61">
        <f t="shared" si="18"/>
        <v>27.993444562741161</v>
      </c>
      <c r="Y17" s="61">
        <f t="shared" si="18"/>
        <v>27.993067451578131</v>
      </c>
      <c r="Z17" s="61">
        <f t="shared" si="18"/>
        <v>27.992983288152082</v>
      </c>
      <c r="AA17" s="61">
        <f t="shared" si="18"/>
        <v>27.992964507829399</v>
      </c>
      <c r="AB17" s="61">
        <f t="shared" si="18"/>
        <v>27.992960317326983</v>
      </c>
    </row>
    <row r="18" spans="2:28" ht="16.5" thickTop="1">
      <c r="B18">
        <v>1</v>
      </c>
      <c r="C18" t="s">
        <v>23</v>
      </c>
      <c r="D18" t="s">
        <v>108</v>
      </c>
      <c r="E18" s="69">
        <v>455</v>
      </c>
      <c r="F18" t="s">
        <v>26</v>
      </c>
      <c r="G18">
        <f>E18/1000*B18</f>
        <v>0.45500000000000002</v>
      </c>
      <c r="H18" s="64" t="s">
        <v>61</v>
      </c>
      <c r="I18" s="15"/>
      <c r="J18" t="s">
        <v>23</v>
      </c>
      <c r="K18" t="s">
        <v>45</v>
      </c>
      <c r="L18" s="60">
        <f>$G18*L$4</f>
        <v>18.791499999999999</v>
      </c>
      <c r="M18" s="60">
        <f t="shared" ref="M18:AB18" si="19">$G18*M$4</f>
        <v>18.791499999999999</v>
      </c>
      <c r="N18" s="60">
        <f t="shared" si="19"/>
        <v>18.791499999999999</v>
      </c>
      <c r="O18" s="60">
        <f t="shared" si="19"/>
        <v>17.81325</v>
      </c>
      <c r="P18" s="60">
        <f t="shared" si="19"/>
        <v>16.835000000000001</v>
      </c>
      <c r="Q18" s="60">
        <f t="shared" si="19"/>
        <v>12.26225</v>
      </c>
      <c r="R18" s="60">
        <f t="shared" si="19"/>
        <v>7.6894999999999998</v>
      </c>
      <c r="S18" s="60">
        <f t="shared" si="19"/>
        <v>7.3937499999999998</v>
      </c>
      <c r="T18" s="60">
        <f t="shared" si="19"/>
        <v>7.0979999999999999</v>
      </c>
      <c r="U18" s="60">
        <f t="shared" si="19"/>
        <v>6.8022499999999999</v>
      </c>
      <c r="V18" s="60">
        <f t="shared" si="19"/>
        <v>6.5065000000000008</v>
      </c>
      <c r="W18" s="60">
        <f t="shared" si="19"/>
        <v>6.5065000000000008</v>
      </c>
      <c r="X18" s="60">
        <f t="shared" si="19"/>
        <v>6.5065000000000008</v>
      </c>
      <c r="Y18" s="60">
        <f t="shared" si="19"/>
        <v>6.5065000000000008</v>
      </c>
      <c r="Z18" s="60">
        <f t="shared" si="19"/>
        <v>6.5065000000000008</v>
      </c>
      <c r="AA18" s="60">
        <f t="shared" si="19"/>
        <v>6.5065000000000008</v>
      </c>
      <c r="AB18" s="60">
        <f t="shared" si="19"/>
        <v>6.5065000000000008</v>
      </c>
    </row>
    <row r="19" spans="2:28" ht="15.75">
      <c r="B19">
        <v>1</v>
      </c>
      <c r="C19" t="s">
        <v>24</v>
      </c>
      <c r="D19" t="s">
        <v>109</v>
      </c>
      <c r="E19" s="69">
        <v>452</v>
      </c>
      <c r="F19" t="s">
        <v>27</v>
      </c>
      <c r="G19">
        <f>E19/1000*B19</f>
        <v>0.45200000000000001</v>
      </c>
      <c r="H19" s="64" t="s">
        <v>61</v>
      </c>
      <c r="I19" s="15"/>
      <c r="J19" t="s">
        <v>24</v>
      </c>
      <c r="K19" t="s">
        <v>45</v>
      </c>
      <c r="L19" s="60">
        <f>$G19*L$5</f>
        <v>14.151128246736297</v>
      </c>
      <c r="M19" s="60">
        <f t="shared" ref="M19:AB19" si="20">$G19*M$5</f>
        <v>13.748138925343589</v>
      </c>
      <c r="N19" s="60">
        <f t="shared" si="20"/>
        <v>13.372698083562479</v>
      </c>
      <c r="O19" s="60">
        <f t="shared" si="20"/>
        <v>12.588086436933741</v>
      </c>
      <c r="P19" s="60">
        <f t="shared" si="20"/>
        <v>10.811668958752527</v>
      </c>
      <c r="Q19" s="60">
        <f t="shared" si="20"/>
        <v>8.6786316024306878</v>
      </c>
      <c r="R19" s="60">
        <f t="shared" si="20"/>
        <v>6.4505902155949046</v>
      </c>
      <c r="S19" s="60">
        <f t="shared" si="20"/>
        <v>6.239569550272325</v>
      </c>
      <c r="T19" s="60">
        <f t="shared" si="20"/>
        <v>6.041338016181415</v>
      </c>
      <c r="U19" s="60">
        <f t="shared" si="20"/>
        <v>5.8547671605664418</v>
      </c>
      <c r="V19" s="60">
        <f t="shared" si="20"/>
        <v>5.6788574967008971</v>
      </c>
      <c r="W19" s="60">
        <f t="shared" si="20"/>
        <v>5.6788574967008971</v>
      </c>
      <c r="X19" s="60">
        <f t="shared" si="20"/>
        <v>5.6788574967008971</v>
      </c>
      <c r="Y19" s="60">
        <f t="shared" si="20"/>
        <v>5.6788574967008971</v>
      </c>
      <c r="Z19" s="60">
        <f t="shared" si="20"/>
        <v>5.6788574967008971</v>
      </c>
      <c r="AA19" s="60">
        <f t="shared" si="20"/>
        <v>5.6788574967008971</v>
      </c>
      <c r="AB19" s="60">
        <f t="shared" si="20"/>
        <v>5.6788574967008971</v>
      </c>
    </row>
    <row r="20" spans="2:28" ht="15.75">
      <c r="C20" t="s">
        <v>25</v>
      </c>
      <c r="D20" t="s">
        <v>109</v>
      </c>
      <c r="E20" s="69">
        <v>0</v>
      </c>
      <c r="F20" t="s">
        <v>27</v>
      </c>
      <c r="G20">
        <v>0</v>
      </c>
      <c r="H20" s="64"/>
      <c r="I20" s="15"/>
      <c r="J20" t="s">
        <v>25</v>
      </c>
      <c r="K20" t="s">
        <v>45</v>
      </c>
      <c r="L20" s="60">
        <f>$G20</f>
        <v>0</v>
      </c>
      <c r="M20" s="60">
        <f t="shared" ref="M20:AB20" si="21">$G20</f>
        <v>0</v>
      </c>
      <c r="N20" s="60">
        <f t="shared" si="21"/>
        <v>0</v>
      </c>
      <c r="O20" s="60">
        <f t="shared" si="21"/>
        <v>0</v>
      </c>
      <c r="P20" s="60">
        <f t="shared" si="21"/>
        <v>0</v>
      </c>
      <c r="Q20" s="60">
        <f t="shared" si="21"/>
        <v>0</v>
      </c>
      <c r="R20" s="60">
        <f t="shared" si="21"/>
        <v>0</v>
      </c>
      <c r="S20" s="60">
        <f t="shared" si="21"/>
        <v>0</v>
      </c>
      <c r="T20" s="60">
        <f t="shared" si="21"/>
        <v>0</v>
      </c>
      <c r="U20" s="60">
        <f t="shared" si="21"/>
        <v>0</v>
      </c>
      <c r="V20" s="60">
        <f t="shared" si="21"/>
        <v>0</v>
      </c>
      <c r="W20" s="60">
        <f t="shared" si="21"/>
        <v>0</v>
      </c>
      <c r="X20" s="60">
        <f t="shared" si="21"/>
        <v>0</v>
      </c>
      <c r="Y20" s="60">
        <f t="shared" si="21"/>
        <v>0</v>
      </c>
      <c r="Z20" s="60">
        <f t="shared" si="21"/>
        <v>0</v>
      </c>
      <c r="AA20" s="60">
        <f t="shared" si="21"/>
        <v>0</v>
      </c>
      <c r="AB20" s="60">
        <f t="shared" si="21"/>
        <v>0</v>
      </c>
    </row>
    <row r="21" spans="2:28" ht="16.5" thickBot="1">
      <c r="C21" s="13" t="s">
        <v>97</v>
      </c>
      <c r="D21" s="4"/>
      <c r="E21" s="4"/>
      <c r="F21" s="4"/>
      <c r="G21" s="4"/>
      <c r="H21" s="4"/>
      <c r="I21" s="14"/>
      <c r="J21" s="63" t="s">
        <v>604</v>
      </c>
      <c r="K21" s="63" t="s">
        <v>45</v>
      </c>
      <c r="L21" s="61">
        <f>SUM(L17:L20)</f>
        <v>73.716057597535297</v>
      </c>
      <c r="M21" s="61">
        <f t="shared" ref="M21:O21" si="22">SUM(M17:M20)</f>
        <v>73.313068276142587</v>
      </c>
      <c r="N21" s="61">
        <f t="shared" si="22"/>
        <v>72.937627434361474</v>
      </c>
      <c r="O21" s="61">
        <f t="shared" si="22"/>
        <v>67.269388375925189</v>
      </c>
      <c r="P21" s="61">
        <f t="shared" ref="P21:AB21" si="23">SUM(P17:P20)</f>
        <v>61.457645556527112</v>
      </c>
      <c r="Q21" s="61">
        <f t="shared" si="23"/>
        <v>52.388245445695034</v>
      </c>
      <c r="R21" s="61">
        <f t="shared" si="23"/>
        <v>43.851128366535278</v>
      </c>
      <c r="S21" s="61">
        <f t="shared" si="23"/>
        <v>42.270022645125053</v>
      </c>
      <c r="T21" s="61">
        <f t="shared" si="23"/>
        <v>41.312016512235765</v>
      </c>
      <c r="U21" s="61">
        <f t="shared" si="23"/>
        <v>40.692799004036608</v>
      </c>
      <c r="V21" s="61">
        <f t="shared" si="23"/>
        <v>40.188024225520607</v>
      </c>
      <c r="W21" s="61">
        <f t="shared" si="23"/>
        <v>40.180490486940514</v>
      </c>
      <c r="X21" s="61">
        <f t="shared" si="23"/>
        <v>40.178802059442063</v>
      </c>
      <c r="Y21" s="61">
        <f t="shared" si="23"/>
        <v>40.17842494827903</v>
      </c>
      <c r="Z21" s="61">
        <f t="shared" si="23"/>
        <v>40.178340784852985</v>
      </c>
      <c r="AA21" s="61">
        <f t="shared" si="23"/>
        <v>40.178322004530301</v>
      </c>
      <c r="AB21" s="61">
        <f t="shared" si="23"/>
        <v>40.178317814027885</v>
      </c>
    </row>
    <row r="22" spans="2:28" ht="16.5" thickTop="1">
      <c r="C22" t="s">
        <v>104</v>
      </c>
      <c r="D22" t="s">
        <v>48</v>
      </c>
      <c r="E22" s="5"/>
      <c r="F22" t="s">
        <v>48</v>
      </c>
      <c r="G22">
        <f>E22</f>
        <v>0</v>
      </c>
      <c r="H22" s="64"/>
      <c r="I22" s="15"/>
      <c r="J22" t="s">
        <v>47</v>
      </c>
      <c r="K22" t="s">
        <v>45</v>
      </c>
      <c r="L22" s="60">
        <f>$G22</f>
        <v>0</v>
      </c>
      <c r="M22" s="60">
        <f t="shared" ref="M22:AB22" si="24">$G22</f>
        <v>0</v>
      </c>
      <c r="N22" s="60">
        <f t="shared" si="24"/>
        <v>0</v>
      </c>
      <c r="O22" s="60">
        <f t="shared" si="24"/>
        <v>0</v>
      </c>
      <c r="P22" s="60">
        <f t="shared" si="24"/>
        <v>0</v>
      </c>
      <c r="Q22" s="60">
        <f t="shared" si="24"/>
        <v>0</v>
      </c>
      <c r="R22" s="60">
        <f t="shared" si="24"/>
        <v>0</v>
      </c>
      <c r="S22" s="60">
        <f t="shared" si="24"/>
        <v>0</v>
      </c>
      <c r="T22" s="60">
        <f t="shared" si="24"/>
        <v>0</v>
      </c>
      <c r="U22" s="60">
        <f t="shared" si="24"/>
        <v>0</v>
      </c>
      <c r="V22" s="60">
        <f t="shared" si="24"/>
        <v>0</v>
      </c>
      <c r="W22" s="60">
        <f t="shared" si="24"/>
        <v>0</v>
      </c>
      <c r="X22" s="60">
        <f t="shared" si="24"/>
        <v>0</v>
      </c>
      <c r="Y22" s="60">
        <f t="shared" si="24"/>
        <v>0</v>
      </c>
      <c r="Z22" s="60">
        <f t="shared" si="24"/>
        <v>0</v>
      </c>
      <c r="AA22" s="60">
        <f t="shared" si="24"/>
        <v>0</v>
      </c>
      <c r="AB22" s="60">
        <f t="shared" si="24"/>
        <v>0</v>
      </c>
    </row>
    <row r="23" spans="2:28" ht="15.75">
      <c r="C23" t="s">
        <v>83</v>
      </c>
      <c r="D23" t="s">
        <v>72</v>
      </c>
      <c r="E23">
        <v>2.5499999999999998</v>
      </c>
      <c r="F23" t="s">
        <v>72</v>
      </c>
      <c r="G23">
        <f>E23</f>
        <v>2.5499999999999998</v>
      </c>
      <c r="H23" s="64" t="s">
        <v>61</v>
      </c>
      <c r="I23" s="15"/>
      <c r="J23" t="s">
        <v>71</v>
      </c>
      <c r="K23" t="s">
        <v>45</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row>
    <row r="24" spans="2:28" ht="15.75">
      <c r="C24" t="s">
        <v>105</v>
      </c>
      <c r="D24" t="s">
        <v>72</v>
      </c>
      <c r="E24">
        <v>-1.92</v>
      </c>
      <c r="F24" t="s">
        <v>72</v>
      </c>
      <c r="G24">
        <f t="shared" ref="G24:G25" si="25">E24</f>
        <v>-1.92</v>
      </c>
      <c r="H24" s="64" t="s">
        <v>61</v>
      </c>
      <c r="I24" s="15"/>
      <c r="J24" t="s">
        <v>73</v>
      </c>
      <c r="K24" t="s">
        <v>45</v>
      </c>
      <c r="L24" s="60">
        <v>0</v>
      </c>
      <c r="M24" s="60">
        <v>0</v>
      </c>
      <c r="N24" s="60">
        <v>0</v>
      </c>
      <c r="O24" s="60">
        <v>0</v>
      </c>
      <c r="P24" s="60">
        <v>0</v>
      </c>
      <c r="Q24" s="60">
        <v>0</v>
      </c>
      <c r="R24" s="60">
        <v>0</v>
      </c>
      <c r="S24" s="60">
        <v>0</v>
      </c>
      <c r="T24" s="60">
        <v>0</v>
      </c>
      <c r="U24" s="60">
        <v>0</v>
      </c>
      <c r="V24" s="60">
        <v>0</v>
      </c>
      <c r="W24" s="60">
        <v>0</v>
      </c>
      <c r="X24" s="60">
        <v>0</v>
      </c>
      <c r="Y24" s="60">
        <v>0</v>
      </c>
      <c r="Z24" s="60">
        <v>0</v>
      </c>
      <c r="AA24" s="60">
        <v>0</v>
      </c>
      <c r="AB24" s="60">
        <v>0</v>
      </c>
    </row>
    <row r="25" spans="2:28" ht="15.75">
      <c r="C25" t="s">
        <v>106</v>
      </c>
      <c r="D25" t="s">
        <v>72</v>
      </c>
      <c r="E25">
        <v>-0.91</v>
      </c>
      <c r="F25" t="s">
        <v>72</v>
      </c>
      <c r="G25">
        <f t="shared" si="25"/>
        <v>-0.91</v>
      </c>
      <c r="H25" s="64" t="s">
        <v>61</v>
      </c>
      <c r="I25" s="15"/>
      <c r="J25" t="s">
        <v>74</v>
      </c>
      <c r="K25" t="s">
        <v>45</v>
      </c>
      <c r="L25" s="60">
        <v>0</v>
      </c>
      <c r="M25" s="60">
        <v>0</v>
      </c>
      <c r="N25" s="60">
        <v>0</v>
      </c>
      <c r="O25" s="60">
        <v>0</v>
      </c>
      <c r="P25" s="60">
        <v>0</v>
      </c>
      <c r="Q25" s="60">
        <v>0</v>
      </c>
      <c r="R25" s="60">
        <v>0</v>
      </c>
      <c r="S25" s="60">
        <v>0</v>
      </c>
      <c r="T25" s="60">
        <v>0</v>
      </c>
      <c r="U25" s="60">
        <v>0</v>
      </c>
      <c r="V25" s="60">
        <v>0</v>
      </c>
      <c r="W25" s="60">
        <v>0</v>
      </c>
      <c r="X25" s="60">
        <v>0</v>
      </c>
      <c r="Y25" s="60">
        <v>0</v>
      </c>
      <c r="Z25" s="60">
        <v>0</v>
      </c>
      <c r="AA25" s="60">
        <v>0</v>
      </c>
      <c r="AB25" s="60">
        <v>0</v>
      </c>
    </row>
    <row r="26" spans="2:28" ht="16.5" thickBot="1">
      <c r="C26" s="13" t="s">
        <v>98</v>
      </c>
      <c r="D26" s="4"/>
      <c r="E26" s="4"/>
      <c r="F26" s="4"/>
      <c r="G26" s="4"/>
      <c r="H26" s="4"/>
      <c r="I26" s="14"/>
      <c r="J26" s="63" t="s">
        <v>605</v>
      </c>
      <c r="K26" s="63" t="s">
        <v>45</v>
      </c>
      <c r="L26" s="61">
        <f>L21+DAC!L21</f>
        <v>233.70862588913823</v>
      </c>
      <c r="M26" s="61">
        <f>M21+DAC!M21</f>
        <v>222.11718225959413</v>
      </c>
      <c r="N26" s="61">
        <f>N21+DAC!N21</f>
        <v>187.98042616994454</v>
      </c>
      <c r="O26" s="61">
        <f>O21+DAC!O21</f>
        <v>166.21456944124705</v>
      </c>
      <c r="P26" s="61">
        <f>P21+DAC!P21</f>
        <v>128.5162287134861</v>
      </c>
      <c r="Q26" s="61">
        <f>Q21+DAC!Q21</f>
        <v>106.5707135201534</v>
      </c>
      <c r="R26" s="61">
        <f>R21+DAC!R21</f>
        <v>83.733577324142431</v>
      </c>
      <c r="S26" s="61">
        <f>S21+DAC!S21</f>
        <v>79.450774982746324</v>
      </c>
      <c r="T26" s="61">
        <f>T21+DAC!T21</f>
        <v>76.731424337387466</v>
      </c>
      <c r="U26" s="61">
        <f>U21+DAC!U21</f>
        <v>75.140447455555346</v>
      </c>
      <c r="V26" s="61">
        <f>V21+DAC!V21</f>
        <v>73.857660475160372</v>
      </c>
      <c r="W26" s="61">
        <f>W21+DAC!W21</f>
        <v>73.598990414273601</v>
      </c>
      <c r="X26" s="61">
        <f>X21+DAC!X21</f>
        <v>73.228912384888361</v>
      </c>
      <c r="Y26" s="61">
        <f>Y21+DAC!Y21</f>
        <v>72.746046970464036</v>
      </c>
      <c r="Z26" s="61">
        <f>Z21+DAC!Z21</f>
        <v>72.342716518973305</v>
      </c>
      <c r="AA26" s="61">
        <f>AA21+DAC!AA21</f>
        <v>72.171215910958693</v>
      </c>
      <c r="AB26" s="61">
        <f>AB21+DAC!AB21</f>
        <v>72.063488217965229</v>
      </c>
    </row>
    <row r="27" spans="2:28" ht="16.5" thickTop="1">
      <c r="C27" t="s">
        <v>66</v>
      </c>
      <c r="D27" t="s">
        <v>67</v>
      </c>
      <c r="E27" t="s">
        <v>76</v>
      </c>
      <c r="F27" t="s">
        <v>67</v>
      </c>
      <c r="G27" t="str">
        <f>E27</f>
        <v>??</v>
      </c>
      <c r="H27" s="64"/>
      <c r="I27" s="15"/>
      <c r="K27" t="s">
        <v>14</v>
      </c>
      <c r="L27" s="60">
        <f>L10</f>
        <v>18.238564939472582</v>
      </c>
      <c r="M27" s="60">
        <f t="shared" ref="M27:O27" si="26">M10</f>
        <v>18.238564939472582</v>
      </c>
      <c r="N27" s="60">
        <f t="shared" si="26"/>
        <v>18.238564939472582</v>
      </c>
      <c r="O27" s="60">
        <f t="shared" si="26"/>
        <v>14.333187527665034</v>
      </c>
      <c r="P27" s="60">
        <f t="shared" ref="P27:AB27" si="27">P10</f>
        <v>11.276112186448167</v>
      </c>
      <c r="Q27" s="60">
        <f t="shared" si="27"/>
        <v>8.9124994319379329</v>
      </c>
      <c r="R27" s="60">
        <f t="shared" si="27"/>
        <v>7.1761737396139544</v>
      </c>
      <c r="S27" s="60">
        <f t="shared" si="27"/>
        <v>6.1018386835263083</v>
      </c>
      <c r="T27" s="60">
        <f t="shared" si="27"/>
        <v>5.6378140847279381</v>
      </c>
      <c r="U27" s="60">
        <f t="shared" si="27"/>
        <v>5.5009174321437548</v>
      </c>
      <c r="V27" s="60">
        <f t="shared" si="27"/>
        <v>5.4678023174932875</v>
      </c>
      <c r="W27" s="60">
        <f t="shared" si="27"/>
        <v>5.4602685789131939</v>
      </c>
      <c r="X27" s="60">
        <f t="shared" si="27"/>
        <v>5.4585801514147461</v>
      </c>
      <c r="Y27" s="60">
        <f t="shared" si="27"/>
        <v>5.458203040251715</v>
      </c>
      <c r="Z27" s="60">
        <f t="shared" si="27"/>
        <v>5.4581188768256661</v>
      </c>
      <c r="AA27" s="60">
        <f t="shared" si="27"/>
        <v>5.4581000965029816</v>
      </c>
      <c r="AB27" s="60">
        <f t="shared" si="27"/>
        <v>5.458095906000568</v>
      </c>
    </row>
    <row r="28" spans="2:28" ht="15.75">
      <c r="C28" t="s">
        <v>68</v>
      </c>
      <c r="D28" t="s">
        <v>69</v>
      </c>
      <c r="E28">
        <v>115</v>
      </c>
      <c r="F28" t="s">
        <v>69</v>
      </c>
      <c r="G28">
        <f>E28</f>
        <v>115</v>
      </c>
      <c r="H28" s="64" t="s">
        <v>61</v>
      </c>
      <c r="I28" s="15"/>
      <c r="K28" t="s">
        <v>19</v>
      </c>
      <c r="L28" s="60">
        <f>L11</f>
        <v>7.5511742249077241</v>
      </c>
      <c r="M28" s="60">
        <f t="shared" ref="M28:O28" si="28">M11</f>
        <v>7.5511742249077241</v>
      </c>
      <c r="N28" s="60">
        <f t="shared" si="28"/>
        <v>7.5511742249077241</v>
      </c>
      <c r="O28" s="60">
        <f t="shared" si="28"/>
        <v>7.5511742249077241</v>
      </c>
      <c r="P28" s="60">
        <f t="shared" ref="P28:AB28" si="29">P11</f>
        <v>7.5511742249077241</v>
      </c>
      <c r="Q28" s="60">
        <f t="shared" si="29"/>
        <v>7.5511742249077241</v>
      </c>
      <c r="R28" s="60">
        <f t="shared" si="29"/>
        <v>7.5511742249077241</v>
      </c>
      <c r="S28" s="60">
        <f t="shared" si="29"/>
        <v>7.5511742249077241</v>
      </c>
      <c r="T28" s="60">
        <f t="shared" si="29"/>
        <v>7.5511742249077241</v>
      </c>
      <c r="U28" s="60">
        <f t="shared" si="29"/>
        <v>7.5511742249077241</v>
      </c>
      <c r="V28" s="60">
        <f t="shared" si="29"/>
        <v>7.5511742249077241</v>
      </c>
      <c r="W28" s="60">
        <f t="shared" si="29"/>
        <v>7.5511742249077241</v>
      </c>
      <c r="X28" s="60">
        <f t="shared" si="29"/>
        <v>7.5511742249077241</v>
      </c>
      <c r="Y28" s="60">
        <f t="shared" si="29"/>
        <v>7.5511742249077241</v>
      </c>
      <c r="Z28" s="60">
        <f t="shared" si="29"/>
        <v>7.5511742249077241</v>
      </c>
      <c r="AA28" s="60">
        <f t="shared" si="29"/>
        <v>7.5511742249077241</v>
      </c>
      <c r="AB28" s="60">
        <f t="shared" si="29"/>
        <v>7.5511742249077241</v>
      </c>
    </row>
    <row r="29" spans="2:28" ht="15.75">
      <c r="I29" s="15"/>
      <c r="K29" t="s">
        <v>20</v>
      </c>
      <c r="L29" s="60">
        <f>L12</f>
        <v>14.983690186418691</v>
      </c>
      <c r="M29" s="60">
        <f t="shared" ref="M29:O29" si="30">M12</f>
        <v>14.983690186418691</v>
      </c>
      <c r="N29" s="60">
        <f t="shared" si="30"/>
        <v>14.983690186418691</v>
      </c>
      <c r="O29" s="60">
        <f t="shared" si="30"/>
        <v>14.983690186418691</v>
      </c>
      <c r="P29" s="60">
        <f t="shared" ref="P29:AB29" si="31">P12</f>
        <v>14.983690186418691</v>
      </c>
      <c r="Q29" s="60">
        <f t="shared" si="31"/>
        <v>14.983690186418691</v>
      </c>
      <c r="R29" s="60">
        <f t="shared" si="31"/>
        <v>14.983690186418691</v>
      </c>
      <c r="S29" s="60">
        <f t="shared" si="31"/>
        <v>14.983690186418691</v>
      </c>
      <c r="T29" s="60">
        <f t="shared" si="31"/>
        <v>14.983690186418691</v>
      </c>
      <c r="U29" s="60">
        <f t="shared" si="31"/>
        <v>14.983690186418691</v>
      </c>
      <c r="V29" s="60">
        <f t="shared" si="31"/>
        <v>14.983690186418691</v>
      </c>
      <c r="W29" s="60">
        <f t="shared" si="31"/>
        <v>14.983690186418691</v>
      </c>
      <c r="X29" s="60">
        <f t="shared" si="31"/>
        <v>14.983690186418691</v>
      </c>
      <c r="Y29" s="60">
        <f t="shared" si="31"/>
        <v>14.983690186418691</v>
      </c>
      <c r="Z29" s="60">
        <f t="shared" si="31"/>
        <v>14.983690186418691</v>
      </c>
      <c r="AA29" s="60">
        <f t="shared" si="31"/>
        <v>14.983690186418691</v>
      </c>
      <c r="AB29" s="60">
        <f t="shared" si="31"/>
        <v>14.983690186418691</v>
      </c>
    </row>
    <row r="30" spans="2:28" ht="15.75">
      <c r="I30" s="15"/>
      <c r="K30" t="s">
        <v>110</v>
      </c>
      <c r="L30" s="60">
        <f>L18</f>
        <v>18.791499999999999</v>
      </c>
      <c r="M30" s="60">
        <f t="shared" ref="M30:O30" si="32">M18</f>
        <v>18.791499999999999</v>
      </c>
      <c r="N30" s="60">
        <f t="shared" si="32"/>
        <v>18.791499999999999</v>
      </c>
      <c r="O30" s="60">
        <f t="shared" si="32"/>
        <v>17.81325</v>
      </c>
      <c r="P30" s="60">
        <f t="shared" ref="P30:AB30" si="33">P18</f>
        <v>16.835000000000001</v>
      </c>
      <c r="Q30" s="60">
        <f t="shared" si="33"/>
        <v>12.26225</v>
      </c>
      <c r="R30" s="60">
        <f t="shared" si="33"/>
        <v>7.6894999999999998</v>
      </c>
      <c r="S30" s="60">
        <f t="shared" si="33"/>
        <v>7.3937499999999998</v>
      </c>
      <c r="T30" s="60">
        <f t="shared" si="33"/>
        <v>7.0979999999999999</v>
      </c>
      <c r="U30" s="60">
        <f t="shared" si="33"/>
        <v>6.8022499999999999</v>
      </c>
      <c r="V30" s="60">
        <f t="shared" si="33"/>
        <v>6.5065000000000008</v>
      </c>
      <c r="W30" s="60">
        <f t="shared" si="33"/>
        <v>6.5065000000000008</v>
      </c>
      <c r="X30" s="60">
        <f t="shared" si="33"/>
        <v>6.5065000000000008</v>
      </c>
      <c r="Y30" s="60">
        <f t="shared" si="33"/>
        <v>6.5065000000000008</v>
      </c>
      <c r="Z30" s="60">
        <f t="shared" si="33"/>
        <v>6.5065000000000008</v>
      </c>
      <c r="AA30" s="60">
        <f t="shared" si="33"/>
        <v>6.5065000000000008</v>
      </c>
      <c r="AB30" s="60">
        <f t="shared" si="33"/>
        <v>6.5065000000000008</v>
      </c>
    </row>
    <row r="31" spans="2:28" ht="15.75">
      <c r="I31" s="15"/>
      <c r="K31" t="s">
        <v>111</v>
      </c>
      <c r="L31" s="60">
        <f>L19</f>
        <v>14.151128246736297</v>
      </c>
      <c r="M31" s="60">
        <f t="shared" ref="M31:O31" si="34">M19</f>
        <v>13.748138925343589</v>
      </c>
      <c r="N31" s="60">
        <f t="shared" si="34"/>
        <v>13.372698083562479</v>
      </c>
      <c r="O31" s="60">
        <f t="shared" si="34"/>
        <v>12.588086436933741</v>
      </c>
      <c r="P31" s="60">
        <f t="shared" ref="P31:AB31" si="35">P19</f>
        <v>10.811668958752527</v>
      </c>
      <c r="Q31" s="60">
        <f t="shared" si="35"/>
        <v>8.6786316024306878</v>
      </c>
      <c r="R31" s="60">
        <f t="shared" si="35"/>
        <v>6.4505902155949046</v>
      </c>
      <c r="S31" s="60">
        <f t="shared" si="35"/>
        <v>6.239569550272325</v>
      </c>
      <c r="T31" s="60">
        <f t="shared" si="35"/>
        <v>6.041338016181415</v>
      </c>
      <c r="U31" s="60">
        <f t="shared" si="35"/>
        <v>5.8547671605664418</v>
      </c>
      <c r="V31" s="60">
        <f t="shared" si="35"/>
        <v>5.6788574967008971</v>
      </c>
      <c r="W31" s="60">
        <f t="shared" si="35"/>
        <v>5.6788574967008971</v>
      </c>
      <c r="X31" s="60">
        <f t="shared" si="35"/>
        <v>5.6788574967008971</v>
      </c>
      <c r="Y31" s="60">
        <f t="shared" si="35"/>
        <v>5.6788574967008971</v>
      </c>
      <c r="Z31" s="60">
        <f t="shared" si="35"/>
        <v>5.6788574967008971</v>
      </c>
      <c r="AA31" s="60">
        <f t="shared" si="35"/>
        <v>5.6788574967008971</v>
      </c>
      <c r="AB31" s="60">
        <f t="shared" si="35"/>
        <v>5.6788574967008971</v>
      </c>
    </row>
    <row r="32" spans="2:28">
      <c r="L32" s="8"/>
    </row>
    <row r="34" spans="2:28" ht="20.25" thickBot="1">
      <c r="C34" s="65" t="s">
        <v>64</v>
      </c>
      <c r="D34" s="65"/>
      <c r="E34" s="65"/>
      <c r="F34" s="65"/>
      <c r="G34" s="65"/>
      <c r="H34" s="65"/>
      <c r="I34" s="65"/>
      <c r="J34" s="65"/>
      <c r="K34" s="65"/>
      <c r="L34" s="65"/>
      <c r="M34" s="65"/>
      <c r="N34" s="65"/>
      <c r="O34" s="65"/>
      <c r="P34" s="65"/>
      <c r="Q34" s="65"/>
      <c r="R34" s="65"/>
      <c r="S34" s="65"/>
      <c r="T34" s="65"/>
      <c r="U34" s="65"/>
      <c r="V34" s="65"/>
      <c r="W34" s="65"/>
      <c r="X34" s="65"/>
      <c r="Y34" s="65"/>
      <c r="Z34" s="65"/>
      <c r="AA34" s="65"/>
      <c r="AB34" s="65"/>
    </row>
    <row r="35" spans="2:28" ht="17.25" thickTop="1" thickBot="1">
      <c r="C35" s="43" t="s">
        <v>8</v>
      </c>
      <c r="D35" s="43" t="s">
        <v>9</v>
      </c>
      <c r="E35" s="43" t="s">
        <v>10</v>
      </c>
      <c r="F35" s="43" t="s">
        <v>11</v>
      </c>
      <c r="G35" s="43" t="s">
        <v>12</v>
      </c>
      <c r="H35" s="43" t="s">
        <v>13</v>
      </c>
      <c r="I35" s="44"/>
      <c r="J35" s="43" t="s">
        <v>8</v>
      </c>
      <c r="K35" s="43" t="s">
        <v>11</v>
      </c>
      <c r="L35" s="46">
        <v>2020</v>
      </c>
      <c r="M35" s="46">
        <v>2025</v>
      </c>
      <c r="N35" s="46">
        <v>2030</v>
      </c>
      <c r="O35" s="46">
        <v>2035</v>
      </c>
      <c r="P35" s="46">
        <v>2040</v>
      </c>
      <c r="Q35" s="46">
        <v>2045</v>
      </c>
      <c r="R35" s="46">
        <v>2050</v>
      </c>
      <c r="S35" s="46">
        <v>2055</v>
      </c>
      <c r="T35" s="46">
        <v>2060</v>
      </c>
      <c r="U35" s="46">
        <v>2065</v>
      </c>
      <c r="V35" s="46">
        <v>2070</v>
      </c>
      <c r="W35" s="46">
        <v>2075</v>
      </c>
      <c r="X35" s="46">
        <v>2080</v>
      </c>
      <c r="Y35" s="46">
        <v>2085</v>
      </c>
      <c r="Z35" s="46">
        <v>2090</v>
      </c>
      <c r="AA35" s="46">
        <v>2095</v>
      </c>
      <c r="AB35" s="46">
        <v>2100</v>
      </c>
    </row>
    <row r="36" spans="2:28" ht="15.75">
      <c r="C36" t="s">
        <v>14</v>
      </c>
      <c r="D36" t="s">
        <v>88</v>
      </c>
      <c r="E36" s="67">
        <f>(67.3-18.7-11.2)*10^6/159720</f>
        <v>234.15977961432503</v>
      </c>
      <c r="F36" t="s">
        <v>44</v>
      </c>
      <c r="G36" s="8">
        <f>E36*Conversion!$J$8/Conversion!$L$8*B10</f>
        <v>208.41240860745322</v>
      </c>
      <c r="H36" s="64" t="s">
        <v>91</v>
      </c>
      <c r="I36" s="15"/>
      <c r="J36" t="s">
        <v>14</v>
      </c>
      <c r="K36" t="s">
        <v>44</v>
      </c>
      <c r="L36" s="60">
        <f>L42*G36/L40*8760/L41</f>
        <v>18.238564939472582</v>
      </c>
      <c r="M36" s="60">
        <f>$L36*Learning!M46</f>
        <v>18.238564939472582</v>
      </c>
      <c r="N36" s="60">
        <f>$L36*Learning!N46</f>
        <v>18.238564939472582</v>
      </c>
      <c r="O36" s="60">
        <f>$L36*Learning!O46</f>
        <v>14.333187527665034</v>
      </c>
      <c r="P36" s="60">
        <f>$L36*Learning!P46</f>
        <v>11.276112186448167</v>
      </c>
      <c r="Q36" s="60">
        <f>$L36*Learning!Q46</f>
        <v>8.9124994319379329</v>
      </c>
      <c r="R36" s="60">
        <f>$L36*Learning!R46</f>
        <v>7.1761737396139544</v>
      </c>
      <c r="S36" s="60">
        <f>$L36*Learning!S46</f>
        <v>6.1018386835263083</v>
      </c>
      <c r="T36" s="60">
        <f>$L36*Learning!T46</f>
        <v>5.6378140847279381</v>
      </c>
      <c r="U36" s="60">
        <f>$L36*Learning!U46</f>
        <v>5.5009174321437548</v>
      </c>
      <c r="V36" s="60">
        <f>$L36*Learning!V46</f>
        <v>5.4678023174932875</v>
      </c>
      <c r="W36" s="60">
        <f>$L36*Learning!W46</f>
        <v>5.4602685789131939</v>
      </c>
      <c r="X36" s="60">
        <f>$L36*Learning!X46</f>
        <v>5.4585801514147461</v>
      </c>
      <c r="Y36" s="60">
        <f>$L36*Learning!Y46</f>
        <v>5.458203040251715</v>
      </c>
      <c r="Z36" s="60">
        <f>$L36*Learning!Z46</f>
        <v>5.4581188768256661</v>
      </c>
      <c r="AA36" s="60">
        <f>$L36*Learning!AA46</f>
        <v>5.4581000965029816</v>
      </c>
      <c r="AB36" s="60">
        <f>$L36*Learning!AB46</f>
        <v>5.458095906000568</v>
      </c>
    </row>
    <row r="37" spans="2:28" ht="15.75">
      <c r="C37" t="s">
        <v>19</v>
      </c>
      <c r="D37" t="s">
        <v>89</v>
      </c>
      <c r="E37" s="68">
        <v>0.03</v>
      </c>
      <c r="F37" t="s">
        <v>45</v>
      </c>
      <c r="G37" s="8">
        <f>E37*E36*Conversion!$J$8/Conversion!$L$8*B11</f>
        <v>6.2523722582235965</v>
      </c>
      <c r="H37" s="64" t="s">
        <v>91</v>
      </c>
      <c r="I37" s="15"/>
      <c r="J37" t="s">
        <v>19</v>
      </c>
      <c r="K37" t="s">
        <v>45</v>
      </c>
      <c r="L37" s="60">
        <f>G37/L40*8760/L41</f>
        <v>7.5511742249077241</v>
      </c>
      <c r="M37" s="60">
        <f>$L37*Learning!L47</f>
        <v>7.5511742249077241</v>
      </c>
      <c r="N37" s="60">
        <f>$L37*Learning!M47</f>
        <v>7.5511742249077241</v>
      </c>
      <c r="O37" s="60">
        <f>$L37*Learning!N47</f>
        <v>7.5511742249077241</v>
      </c>
      <c r="P37" s="60">
        <f>$L37*Learning!O47</f>
        <v>7.5511742249077241</v>
      </c>
      <c r="Q37" s="60">
        <f>$L37*Learning!P47</f>
        <v>7.5511742249077241</v>
      </c>
      <c r="R37" s="60">
        <f>$L37*Learning!Q47</f>
        <v>7.5511742249077241</v>
      </c>
      <c r="S37" s="60">
        <f>$L37*Learning!R47</f>
        <v>7.5511742249077241</v>
      </c>
      <c r="T37" s="60">
        <f>$L37*Learning!S47</f>
        <v>7.5511742249077241</v>
      </c>
      <c r="U37" s="60">
        <f>$L37*Learning!T47</f>
        <v>7.5511742249077241</v>
      </c>
      <c r="V37" s="60">
        <f>$L37*Learning!U47</f>
        <v>7.5511742249077241</v>
      </c>
      <c r="W37" s="60">
        <f>$L37*Learning!V47</f>
        <v>7.5511742249077241</v>
      </c>
      <c r="X37" s="60">
        <f>$L37*Learning!W47</f>
        <v>7.5511742249077241</v>
      </c>
      <c r="Y37" s="60">
        <f>$L37*Learning!X47</f>
        <v>7.5511742249077241</v>
      </c>
      <c r="Z37" s="60">
        <f>$L37*Learning!Y47</f>
        <v>7.5511742249077241</v>
      </c>
      <c r="AA37" s="60">
        <f>$L37*Learning!Z47</f>
        <v>7.5511742249077241</v>
      </c>
      <c r="AB37" s="60">
        <f>$L37*Learning!AA47</f>
        <v>7.5511742249077241</v>
      </c>
    </row>
    <row r="38" spans="2:28" ht="15.75">
      <c r="B38" t="s">
        <v>90</v>
      </c>
      <c r="C38" t="s">
        <v>20</v>
      </c>
      <c r="D38" t="s">
        <v>92</v>
      </c>
      <c r="E38" s="67">
        <f>17.6*0.88</f>
        <v>15.488000000000001</v>
      </c>
      <c r="F38" t="s">
        <v>45</v>
      </c>
      <c r="G38" s="8">
        <f>E38*Conversion!$J$8/Conversion!$L$8*B12</f>
        <v>13.784994971505197</v>
      </c>
      <c r="H38" s="64" t="s">
        <v>91</v>
      </c>
      <c r="I38" s="15"/>
      <c r="J38" t="s">
        <v>20</v>
      </c>
      <c r="K38" t="s">
        <v>45</v>
      </c>
      <c r="L38" s="60">
        <f>G38/G41</f>
        <v>14.983690186418691</v>
      </c>
      <c r="M38" s="60">
        <f t="shared" ref="M38:O42" si="36">L38</f>
        <v>14.983690186418691</v>
      </c>
      <c r="N38" s="60">
        <f t="shared" si="36"/>
        <v>14.983690186418691</v>
      </c>
      <c r="O38" s="60">
        <f t="shared" si="36"/>
        <v>14.983690186418691</v>
      </c>
      <c r="P38" s="60">
        <f t="shared" ref="P38:P42" si="37">O38</f>
        <v>14.983690186418691</v>
      </c>
      <c r="Q38" s="60">
        <f t="shared" ref="Q38:Q42" si="38">P38</f>
        <v>14.983690186418691</v>
      </c>
      <c r="R38" s="60">
        <f t="shared" ref="R38:R42" si="39">Q38</f>
        <v>14.983690186418691</v>
      </c>
      <c r="S38" s="60">
        <f t="shared" ref="S38:S42" si="40">R38</f>
        <v>14.983690186418691</v>
      </c>
      <c r="T38" s="60">
        <f t="shared" ref="T38:T42" si="41">S38</f>
        <v>14.983690186418691</v>
      </c>
      <c r="U38" s="60">
        <f t="shared" ref="U38:U42" si="42">T38</f>
        <v>14.983690186418691</v>
      </c>
      <c r="V38" s="60">
        <f t="shared" ref="V38:V42" si="43">U38</f>
        <v>14.983690186418691</v>
      </c>
      <c r="W38" s="60">
        <f t="shared" ref="W38:W42" si="44">V38</f>
        <v>14.983690186418691</v>
      </c>
      <c r="X38" s="60">
        <f t="shared" ref="X38:X42" si="45">W38</f>
        <v>14.983690186418691</v>
      </c>
      <c r="Y38" s="60">
        <f t="shared" ref="Y38:Y42" si="46">X38</f>
        <v>14.983690186418691</v>
      </c>
      <c r="Z38" s="60">
        <f t="shared" ref="Z38:Z42" si="47">Y38</f>
        <v>14.983690186418691</v>
      </c>
      <c r="AA38" s="60">
        <f t="shared" ref="AA38:AA42" si="48">Z38</f>
        <v>14.983690186418691</v>
      </c>
      <c r="AB38" s="60">
        <f t="shared" ref="AB38:AB42" si="49">AA38</f>
        <v>14.983690186418691</v>
      </c>
    </row>
    <row r="39" spans="2:28" ht="15.75">
      <c r="C39" t="s">
        <v>15</v>
      </c>
      <c r="D39" t="s">
        <v>21</v>
      </c>
      <c r="E39" s="69">
        <v>50</v>
      </c>
      <c r="F39" t="s">
        <v>21</v>
      </c>
      <c r="G39">
        <f>E39*B13</f>
        <v>50</v>
      </c>
      <c r="H39" s="64" t="s">
        <v>52</v>
      </c>
      <c r="I39" s="15"/>
      <c r="J39" t="s">
        <v>15</v>
      </c>
      <c r="K39" t="s">
        <v>21</v>
      </c>
      <c r="L39" s="60">
        <f>G39</f>
        <v>50</v>
      </c>
      <c r="M39" s="60">
        <f t="shared" si="36"/>
        <v>50</v>
      </c>
      <c r="N39" s="60">
        <f t="shared" si="36"/>
        <v>50</v>
      </c>
      <c r="O39" s="60">
        <f t="shared" si="36"/>
        <v>50</v>
      </c>
      <c r="P39" s="60">
        <f t="shared" si="37"/>
        <v>50</v>
      </c>
      <c r="Q39" s="60">
        <f t="shared" si="38"/>
        <v>50</v>
      </c>
      <c r="R39" s="60">
        <f t="shared" si="39"/>
        <v>50</v>
      </c>
      <c r="S39" s="60">
        <f t="shared" si="40"/>
        <v>50</v>
      </c>
      <c r="T39" s="60">
        <f t="shared" si="41"/>
        <v>50</v>
      </c>
      <c r="U39" s="60">
        <f t="shared" si="42"/>
        <v>50</v>
      </c>
      <c r="V39" s="60">
        <f t="shared" si="43"/>
        <v>50</v>
      </c>
      <c r="W39" s="60">
        <f t="shared" si="44"/>
        <v>50</v>
      </c>
      <c r="X39" s="60">
        <f t="shared" si="45"/>
        <v>50</v>
      </c>
      <c r="Y39" s="60">
        <f t="shared" si="46"/>
        <v>50</v>
      </c>
      <c r="Z39" s="60">
        <f t="shared" si="47"/>
        <v>50</v>
      </c>
      <c r="AA39" s="60">
        <f t="shared" si="48"/>
        <v>50</v>
      </c>
      <c r="AB39" s="60">
        <f t="shared" si="49"/>
        <v>50</v>
      </c>
    </row>
    <row r="40" spans="2:28" ht="15.75">
      <c r="C40" t="s">
        <v>16</v>
      </c>
      <c r="D40" t="s">
        <v>22</v>
      </c>
      <c r="E40" s="70">
        <f>Global!D$5*8760</f>
        <v>361788</v>
      </c>
      <c r="F40" t="s">
        <v>22</v>
      </c>
      <c r="G40" s="12">
        <f>E40</f>
        <v>361788</v>
      </c>
      <c r="H40" s="64"/>
      <c r="I40" s="15"/>
      <c r="J40" t="s">
        <v>16</v>
      </c>
      <c r="K40" t="s">
        <v>22</v>
      </c>
      <c r="L40" s="60">
        <f>L3*8760</f>
        <v>7884</v>
      </c>
      <c r="M40" s="60">
        <f t="shared" ref="M40:AB40" si="50">M3*8760</f>
        <v>7971.6</v>
      </c>
      <c r="N40" s="60">
        <f t="shared" si="50"/>
        <v>8059.2000000000007</v>
      </c>
      <c r="O40" s="60">
        <f t="shared" si="50"/>
        <v>8146.8</v>
      </c>
      <c r="P40" s="60">
        <f t="shared" si="50"/>
        <v>8234.4</v>
      </c>
      <c r="Q40" s="60">
        <f t="shared" si="50"/>
        <v>8322</v>
      </c>
      <c r="R40" s="60">
        <f t="shared" si="50"/>
        <v>8322</v>
      </c>
      <c r="S40" s="60">
        <f t="shared" si="50"/>
        <v>8322</v>
      </c>
      <c r="T40" s="60">
        <f t="shared" si="50"/>
        <v>8322</v>
      </c>
      <c r="U40" s="60">
        <f t="shared" si="50"/>
        <v>8322</v>
      </c>
      <c r="V40" s="60">
        <f t="shared" si="50"/>
        <v>8322</v>
      </c>
      <c r="W40" s="60">
        <f t="shared" si="50"/>
        <v>8322</v>
      </c>
      <c r="X40" s="60">
        <f t="shared" si="50"/>
        <v>8322</v>
      </c>
      <c r="Y40" s="60">
        <f t="shared" si="50"/>
        <v>8322</v>
      </c>
      <c r="Z40" s="60">
        <f t="shared" si="50"/>
        <v>8322</v>
      </c>
      <c r="AA40" s="60">
        <f t="shared" si="50"/>
        <v>8322</v>
      </c>
      <c r="AB40" s="60">
        <f t="shared" si="50"/>
        <v>8322</v>
      </c>
    </row>
    <row r="41" spans="2:28" ht="15.75">
      <c r="C41" t="s">
        <v>29</v>
      </c>
      <c r="D41" s="2" t="s">
        <v>7</v>
      </c>
      <c r="E41" s="69">
        <v>0.92</v>
      </c>
      <c r="F41" s="2" t="s">
        <v>7</v>
      </c>
      <c r="G41">
        <f>E41</f>
        <v>0.92</v>
      </c>
      <c r="H41" s="64"/>
      <c r="I41" s="15"/>
      <c r="J41" t="s">
        <v>29</v>
      </c>
      <c r="K41" s="2" t="s">
        <v>7</v>
      </c>
      <c r="L41" s="60">
        <f t="shared" ref="L41" si="51">G41</f>
        <v>0.92</v>
      </c>
      <c r="M41" s="60">
        <f t="shared" si="36"/>
        <v>0.92</v>
      </c>
      <c r="N41" s="60">
        <f t="shared" si="36"/>
        <v>0.92</v>
      </c>
      <c r="O41" s="60">
        <f t="shared" si="36"/>
        <v>0.92</v>
      </c>
      <c r="P41" s="60">
        <f t="shared" si="37"/>
        <v>0.92</v>
      </c>
      <c r="Q41" s="60">
        <f t="shared" si="38"/>
        <v>0.92</v>
      </c>
      <c r="R41" s="60">
        <f t="shared" si="39"/>
        <v>0.92</v>
      </c>
      <c r="S41" s="60">
        <f t="shared" si="40"/>
        <v>0.92</v>
      </c>
      <c r="T41" s="60">
        <f t="shared" si="41"/>
        <v>0.92</v>
      </c>
      <c r="U41" s="60">
        <f t="shared" si="42"/>
        <v>0.92</v>
      </c>
      <c r="V41" s="60">
        <f t="shared" si="43"/>
        <v>0.92</v>
      </c>
      <c r="W41" s="60">
        <f t="shared" si="44"/>
        <v>0.92</v>
      </c>
      <c r="X41" s="60">
        <f t="shared" si="45"/>
        <v>0.92</v>
      </c>
      <c r="Y41" s="60">
        <f t="shared" si="46"/>
        <v>0.92</v>
      </c>
      <c r="Z41" s="60">
        <f t="shared" si="47"/>
        <v>0.92</v>
      </c>
      <c r="AA41" s="60">
        <f t="shared" si="48"/>
        <v>0.92</v>
      </c>
      <c r="AB41" s="60">
        <f t="shared" si="49"/>
        <v>0.92</v>
      </c>
    </row>
    <row r="42" spans="2:28" ht="15.75">
      <c r="F42" s="2"/>
      <c r="H42" s="64"/>
      <c r="I42" s="15"/>
      <c r="J42" t="s">
        <v>17</v>
      </c>
      <c r="K42" s="2" t="s">
        <v>7</v>
      </c>
      <c r="L42" s="60">
        <f>(L$2*(1+L$2)^L39)/((1+L$2)^L39-1)</f>
        <v>7.2459849539607685E-2</v>
      </c>
      <c r="M42" s="60">
        <f t="shared" si="36"/>
        <v>7.2459849539607685E-2</v>
      </c>
      <c r="N42" s="60">
        <f t="shared" si="36"/>
        <v>7.2459849539607685E-2</v>
      </c>
      <c r="O42" s="60">
        <f t="shared" si="36"/>
        <v>7.2459849539607685E-2</v>
      </c>
      <c r="P42" s="60">
        <f t="shared" si="37"/>
        <v>7.2459849539607685E-2</v>
      </c>
      <c r="Q42" s="60">
        <f t="shared" si="38"/>
        <v>7.2459849539607685E-2</v>
      </c>
      <c r="R42" s="60">
        <f t="shared" si="39"/>
        <v>7.2459849539607685E-2</v>
      </c>
      <c r="S42" s="60">
        <f t="shared" si="40"/>
        <v>7.2459849539607685E-2</v>
      </c>
      <c r="T42" s="60">
        <f t="shared" si="41"/>
        <v>7.2459849539607685E-2</v>
      </c>
      <c r="U42" s="60">
        <f t="shared" si="42"/>
        <v>7.2459849539607685E-2</v>
      </c>
      <c r="V42" s="60">
        <f t="shared" si="43"/>
        <v>7.2459849539607685E-2</v>
      </c>
      <c r="W42" s="60">
        <f t="shared" si="44"/>
        <v>7.2459849539607685E-2</v>
      </c>
      <c r="X42" s="60">
        <f t="shared" si="45"/>
        <v>7.2459849539607685E-2</v>
      </c>
      <c r="Y42" s="60">
        <f t="shared" si="46"/>
        <v>7.2459849539607685E-2</v>
      </c>
      <c r="Z42" s="60">
        <f t="shared" si="47"/>
        <v>7.2459849539607685E-2</v>
      </c>
      <c r="AA42" s="60">
        <f t="shared" si="48"/>
        <v>7.2459849539607685E-2</v>
      </c>
      <c r="AB42" s="60">
        <f t="shared" si="49"/>
        <v>7.2459849539607685E-2</v>
      </c>
    </row>
    <row r="43" spans="2:28" ht="16.5" thickBot="1">
      <c r="C43" s="13" t="s">
        <v>96</v>
      </c>
      <c r="D43" s="4"/>
      <c r="E43" s="4"/>
      <c r="F43" s="4"/>
      <c r="G43" s="4"/>
      <c r="H43" s="4"/>
      <c r="I43" s="14"/>
      <c r="J43" s="63" t="s">
        <v>603</v>
      </c>
      <c r="K43" s="63" t="s">
        <v>45</v>
      </c>
      <c r="L43" s="61">
        <f>SUM(L36:L38)</f>
        <v>40.773429350798999</v>
      </c>
      <c r="M43" s="61">
        <f t="shared" ref="M43:O43" si="52">SUM(M36:M38)</f>
        <v>40.773429350798999</v>
      </c>
      <c r="N43" s="61">
        <f t="shared" si="52"/>
        <v>40.773429350798999</v>
      </c>
      <c r="O43" s="61">
        <f t="shared" si="52"/>
        <v>36.868051938991449</v>
      </c>
      <c r="P43" s="61">
        <f t="shared" ref="P43:AB43" si="53">SUM(P36:P38)</f>
        <v>33.810976597774584</v>
      </c>
      <c r="Q43" s="61">
        <f t="shared" si="53"/>
        <v>31.447363843264348</v>
      </c>
      <c r="R43" s="61">
        <f t="shared" si="53"/>
        <v>29.711038150940368</v>
      </c>
      <c r="S43" s="61">
        <f t="shared" si="53"/>
        <v>28.636703094852724</v>
      </c>
      <c r="T43" s="61">
        <f t="shared" si="53"/>
        <v>28.172678496054353</v>
      </c>
      <c r="U43" s="61">
        <f t="shared" si="53"/>
        <v>28.035781843470168</v>
      </c>
      <c r="V43" s="61">
        <f t="shared" si="53"/>
        <v>28.002666728819705</v>
      </c>
      <c r="W43" s="61">
        <f t="shared" si="53"/>
        <v>27.995132990239611</v>
      </c>
      <c r="X43" s="61">
        <f t="shared" si="53"/>
        <v>27.993444562741161</v>
      </c>
      <c r="Y43" s="61">
        <f t="shared" si="53"/>
        <v>27.993067451578131</v>
      </c>
      <c r="Z43" s="61">
        <f t="shared" si="53"/>
        <v>27.992983288152082</v>
      </c>
      <c r="AA43" s="61">
        <f t="shared" si="53"/>
        <v>27.992964507829399</v>
      </c>
      <c r="AB43" s="61">
        <f t="shared" si="53"/>
        <v>27.992960317326983</v>
      </c>
    </row>
    <row r="44" spans="2:28" ht="16.5" thickTop="1">
      <c r="C44" t="s">
        <v>23</v>
      </c>
      <c r="D44" t="s">
        <v>108</v>
      </c>
      <c r="E44" s="69">
        <v>689</v>
      </c>
      <c r="F44" t="s">
        <v>26</v>
      </c>
      <c r="G44" s="5">
        <f>E44/1000*B18</f>
        <v>0.68899999999999995</v>
      </c>
      <c r="H44" s="64" t="s">
        <v>61</v>
      </c>
      <c r="I44" s="15"/>
      <c r="J44" t="s">
        <v>23</v>
      </c>
      <c r="K44" t="s">
        <v>45</v>
      </c>
      <c r="L44" s="60">
        <f>$G44*L$4</f>
        <v>28.455699999999997</v>
      </c>
      <c r="M44" s="60">
        <f t="shared" ref="M44:AB44" si="54">$G44*M$4</f>
        <v>28.455699999999997</v>
      </c>
      <c r="N44" s="60">
        <f t="shared" si="54"/>
        <v>28.455699999999997</v>
      </c>
      <c r="O44" s="60">
        <f t="shared" si="54"/>
        <v>26.974349999999998</v>
      </c>
      <c r="P44" s="60">
        <f t="shared" si="54"/>
        <v>25.492999999999999</v>
      </c>
      <c r="Q44" s="60">
        <f t="shared" si="54"/>
        <v>18.568549999999998</v>
      </c>
      <c r="R44" s="60">
        <f t="shared" si="54"/>
        <v>11.644099999999998</v>
      </c>
      <c r="S44" s="60">
        <f t="shared" si="54"/>
        <v>11.196249999999999</v>
      </c>
      <c r="T44" s="60">
        <f t="shared" si="54"/>
        <v>10.748399999999998</v>
      </c>
      <c r="U44" s="60">
        <f t="shared" si="54"/>
        <v>10.300549999999999</v>
      </c>
      <c r="V44" s="60">
        <f t="shared" si="54"/>
        <v>9.8527000000000005</v>
      </c>
      <c r="W44" s="60">
        <f t="shared" si="54"/>
        <v>9.8527000000000005</v>
      </c>
      <c r="X44" s="60">
        <f t="shared" si="54"/>
        <v>9.8527000000000005</v>
      </c>
      <c r="Y44" s="60">
        <f t="shared" si="54"/>
        <v>9.8527000000000005</v>
      </c>
      <c r="Z44" s="60">
        <f t="shared" si="54"/>
        <v>9.8527000000000005</v>
      </c>
      <c r="AA44" s="60">
        <f t="shared" si="54"/>
        <v>9.8527000000000005</v>
      </c>
      <c r="AB44" s="60">
        <f t="shared" si="54"/>
        <v>9.8527000000000005</v>
      </c>
    </row>
    <row r="45" spans="2:28" ht="15.75">
      <c r="C45" t="s">
        <v>24</v>
      </c>
      <c r="D45" t="s">
        <v>108</v>
      </c>
      <c r="E45" s="69">
        <v>103</v>
      </c>
      <c r="F45" t="s">
        <v>27</v>
      </c>
      <c r="G45" s="5">
        <f>E45/1000*B19</f>
        <v>0.10299999999999999</v>
      </c>
      <c r="H45" s="64" t="s">
        <v>61</v>
      </c>
      <c r="I45" s="15"/>
      <c r="J45" t="s">
        <v>24</v>
      </c>
      <c r="K45" t="s">
        <v>45</v>
      </c>
      <c r="L45" s="60">
        <f>$G45*L$6</f>
        <v>4.2538999999999998</v>
      </c>
      <c r="M45" s="60">
        <f t="shared" ref="M45:AB45" si="55">$G45*M$6</f>
        <v>4.2538999999999998</v>
      </c>
      <c r="N45" s="60">
        <f t="shared" si="55"/>
        <v>4.2538999999999998</v>
      </c>
      <c r="O45" s="60">
        <f t="shared" si="55"/>
        <v>4.0324499999999999</v>
      </c>
      <c r="P45" s="60">
        <f t="shared" si="55"/>
        <v>3.8109999999999999</v>
      </c>
      <c r="Q45" s="60">
        <f t="shared" si="55"/>
        <v>2.7758499999999997</v>
      </c>
      <c r="R45" s="60">
        <f t="shared" si="55"/>
        <v>1.7406999999999997</v>
      </c>
      <c r="S45" s="60">
        <f t="shared" si="55"/>
        <v>1.6737499999999998</v>
      </c>
      <c r="T45" s="60">
        <f t="shared" si="55"/>
        <v>1.6067999999999998</v>
      </c>
      <c r="U45" s="60">
        <f t="shared" si="55"/>
        <v>1.5398499999999999</v>
      </c>
      <c r="V45" s="60">
        <f t="shared" si="55"/>
        <v>1.4729000000000001</v>
      </c>
      <c r="W45" s="60">
        <f t="shared" si="55"/>
        <v>1.4729000000000001</v>
      </c>
      <c r="X45" s="60">
        <f t="shared" si="55"/>
        <v>1.4729000000000001</v>
      </c>
      <c r="Y45" s="60">
        <f t="shared" si="55"/>
        <v>1.4729000000000001</v>
      </c>
      <c r="Z45" s="60">
        <f t="shared" si="55"/>
        <v>1.4729000000000001</v>
      </c>
      <c r="AA45" s="60">
        <f t="shared" si="55"/>
        <v>1.4729000000000001</v>
      </c>
      <c r="AB45" s="60">
        <f t="shared" si="55"/>
        <v>1.4729000000000001</v>
      </c>
    </row>
    <row r="46" spans="2:28" ht="15.75">
      <c r="C46" t="s">
        <v>25</v>
      </c>
      <c r="D46" t="s">
        <v>108</v>
      </c>
      <c r="E46" s="69">
        <v>0</v>
      </c>
      <c r="F46" t="s">
        <v>27</v>
      </c>
      <c r="G46" s="5">
        <v>0</v>
      </c>
      <c r="H46" s="64" t="s">
        <v>61</v>
      </c>
      <c r="I46" s="15"/>
      <c r="J46" t="s">
        <v>25</v>
      </c>
      <c r="K46" t="s">
        <v>45</v>
      </c>
      <c r="L46" s="60">
        <f t="shared" ref="L46:O46" si="56">$G46*L$3</f>
        <v>0</v>
      </c>
      <c r="M46" s="60">
        <f t="shared" si="56"/>
        <v>0</v>
      </c>
      <c r="N46" s="60">
        <f t="shared" si="56"/>
        <v>0</v>
      </c>
      <c r="O46" s="60">
        <f t="shared" si="56"/>
        <v>0</v>
      </c>
      <c r="P46" s="60">
        <f t="shared" ref="P46:AB46" si="57">$G46*P$3</f>
        <v>0</v>
      </c>
      <c r="Q46" s="60">
        <f t="shared" si="57"/>
        <v>0</v>
      </c>
      <c r="R46" s="60">
        <f t="shared" si="57"/>
        <v>0</v>
      </c>
      <c r="S46" s="60">
        <f t="shared" si="57"/>
        <v>0</v>
      </c>
      <c r="T46" s="60">
        <f t="shared" si="57"/>
        <v>0</v>
      </c>
      <c r="U46" s="60">
        <f t="shared" si="57"/>
        <v>0</v>
      </c>
      <c r="V46" s="60">
        <f t="shared" si="57"/>
        <v>0</v>
      </c>
      <c r="W46" s="60">
        <f t="shared" si="57"/>
        <v>0</v>
      </c>
      <c r="X46" s="60">
        <f t="shared" si="57"/>
        <v>0</v>
      </c>
      <c r="Y46" s="60">
        <f t="shared" si="57"/>
        <v>0</v>
      </c>
      <c r="Z46" s="60">
        <f t="shared" si="57"/>
        <v>0</v>
      </c>
      <c r="AA46" s="60">
        <f t="shared" si="57"/>
        <v>0</v>
      </c>
      <c r="AB46" s="60">
        <f t="shared" si="57"/>
        <v>0</v>
      </c>
    </row>
    <row r="47" spans="2:28" ht="16.5" thickBot="1">
      <c r="C47" s="13" t="s">
        <v>97</v>
      </c>
      <c r="D47" s="4"/>
      <c r="E47" s="4"/>
      <c r="F47" s="4"/>
      <c r="G47" s="4"/>
      <c r="H47" s="4"/>
      <c r="I47" s="14"/>
      <c r="J47" s="63" t="s">
        <v>604</v>
      </c>
      <c r="K47" s="63" t="s">
        <v>45</v>
      </c>
      <c r="L47" s="61">
        <f>SUM(L43:L46)</f>
        <v>73.483029350799001</v>
      </c>
      <c r="M47" s="61">
        <f t="shared" ref="M47:O47" si="58">SUM(M43:M46)</f>
        <v>73.483029350799001</v>
      </c>
      <c r="N47" s="61">
        <f t="shared" si="58"/>
        <v>73.483029350799001</v>
      </c>
      <c r="O47" s="61">
        <f t="shared" si="58"/>
        <v>67.874851938991441</v>
      </c>
      <c r="P47" s="61">
        <f t="shared" ref="P47:AB47" si="59">SUM(P43:P46)</f>
        <v>63.114976597774579</v>
      </c>
      <c r="Q47" s="61">
        <f t="shared" si="59"/>
        <v>52.791763843264341</v>
      </c>
      <c r="R47" s="61">
        <f t="shared" si="59"/>
        <v>43.095838150940359</v>
      </c>
      <c r="S47" s="61">
        <f t="shared" si="59"/>
        <v>41.506703094852725</v>
      </c>
      <c r="T47" s="61">
        <f t="shared" si="59"/>
        <v>40.527878496054349</v>
      </c>
      <c r="U47" s="61">
        <f t="shared" si="59"/>
        <v>39.876181843470171</v>
      </c>
      <c r="V47" s="61">
        <f t="shared" si="59"/>
        <v>39.328266728819706</v>
      </c>
      <c r="W47" s="61">
        <f t="shared" si="59"/>
        <v>39.320732990239613</v>
      </c>
      <c r="X47" s="61">
        <f t="shared" si="59"/>
        <v>39.319044562741162</v>
      </c>
      <c r="Y47" s="61">
        <f t="shared" si="59"/>
        <v>39.318667451578136</v>
      </c>
      <c r="Z47" s="61">
        <f t="shared" si="59"/>
        <v>39.318583288152084</v>
      </c>
      <c r="AA47" s="61">
        <f t="shared" si="59"/>
        <v>39.3185645078294</v>
      </c>
      <c r="AB47" s="61">
        <f t="shared" si="59"/>
        <v>39.318560317326984</v>
      </c>
    </row>
    <row r="48" spans="2:28" ht="16.5" thickTop="1">
      <c r="C48" t="s">
        <v>104</v>
      </c>
      <c r="D48" t="s">
        <v>48</v>
      </c>
      <c r="F48" t="s">
        <v>48</v>
      </c>
      <c r="G48" s="5">
        <f>E48</f>
        <v>0</v>
      </c>
      <c r="H48" s="64"/>
      <c r="I48" s="15"/>
      <c r="J48" t="s">
        <v>47</v>
      </c>
      <c r="K48" t="s">
        <v>48</v>
      </c>
      <c r="L48" s="60">
        <v>0</v>
      </c>
      <c r="M48" s="60">
        <v>0</v>
      </c>
      <c r="N48" s="60">
        <v>0</v>
      </c>
      <c r="O48" s="60">
        <v>0</v>
      </c>
      <c r="P48" s="60">
        <v>0</v>
      </c>
      <c r="Q48" s="60">
        <v>0</v>
      </c>
      <c r="R48" s="60">
        <v>0</v>
      </c>
      <c r="S48" s="60">
        <v>0</v>
      </c>
      <c r="T48" s="60">
        <v>0</v>
      </c>
      <c r="U48" s="60">
        <v>0</v>
      </c>
      <c r="V48" s="60">
        <v>0</v>
      </c>
      <c r="W48" s="60">
        <v>0</v>
      </c>
      <c r="X48" s="60">
        <v>0</v>
      </c>
      <c r="Y48" s="60">
        <v>0</v>
      </c>
      <c r="Z48" s="60">
        <v>0</v>
      </c>
      <c r="AA48" s="60">
        <v>0</v>
      </c>
      <c r="AB48" s="60">
        <v>0</v>
      </c>
    </row>
    <row r="49" spans="3:28" ht="15.75">
      <c r="C49" t="s">
        <v>84</v>
      </c>
      <c r="D49" t="s">
        <v>72</v>
      </c>
      <c r="E49">
        <v>2</v>
      </c>
      <c r="F49" t="s">
        <v>72</v>
      </c>
      <c r="G49" s="5">
        <f t="shared" ref="G49:G51" si="60">E49</f>
        <v>2</v>
      </c>
      <c r="H49" s="64" t="s">
        <v>61</v>
      </c>
      <c r="I49" s="15"/>
      <c r="J49" t="s">
        <v>75</v>
      </c>
      <c r="K49" t="s">
        <v>72</v>
      </c>
      <c r="L49" s="60">
        <v>0</v>
      </c>
      <c r="M49" s="60">
        <v>0</v>
      </c>
      <c r="N49" s="60">
        <v>0</v>
      </c>
      <c r="O49" s="60">
        <v>0</v>
      </c>
      <c r="P49" s="60">
        <v>0</v>
      </c>
      <c r="Q49" s="60">
        <v>0</v>
      </c>
      <c r="R49" s="60">
        <v>0</v>
      </c>
      <c r="S49" s="60">
        <v>0</v>
      </c>
      <c r="T49" s="60">
        <v>0</v>
      </c>
      <c r="U49" s="60">
        <v>0</v>
      </c>
      <c r="V49" s="60">
        <v>0</v>
      </c>
      <c r="W49" s="60">
        <v>0</v>
      </c>
      <c r="X49" s="60">
        <v>0</v>
      </c>
      <c r="Y49" s="60">
        <v>0</v>
      </c>
      <c r="Z49" s="60">
        <v>0</v>
      </c>
      <c r="AA49" s="60">
        <v>0</v>
      </c>
      <c r="AB49" s="60">
        <v>0</v>
      </c>
    </row>
    <row r="50" spans="3:28" ht="15.75">
      <c r="C50" t="s">
        <v>105</v>
      </c>
      <c r="D50" t="s">
        <v>72</v>
      </c>
      <c r="E50">
        <v>-1.92</v>
      </c>
      <c r="F50" t="s">
        <v>72</v>
      </c>
      <c r="G50" s="5">
        <f t="shared" si="60"/>
        <v>-1.92</v>
      </c>
      <c r="H50" s="64" t="s">
        <v>61</v>
      </c>
      <c r="I50" s="15"/>
      <c r="J50" t="s">
        <v>73</v>
      </c>
      <c r="K50" t="s">
        <v>72</v>
      </c>
      <c r="L50" s="60">
        <v>0</v>
      </c>
      <c r="M50" s="60">
        <v>0</v>
      </c>
      <c r="N50" s="60">
        <v>0</v>
      </c>
      <c r="O50" s="60">
        <v>0</v>
      </c>
      <c r="P50" s="60">
        <v>0</v>
      </c>
      <c r="Q50" s="60">
        <v>0</v>
      </c>
      <c r="R50" s="60">
        <v>0</v>
      </c>
      <c r="S50" s="60">
        <v>0</v>
      </c>
      <c r="T50" s="60">
        <v>0</v>
      </c>
      <c r="U50" s="60">
        <v>0</v>
      </c>
      <c r="V50" s="60">
        <v>0</v>
      </c>
      <c r="W50" s="60">
        <v>0</v>
      </c>
      <c r="X50" s="60">
        <v>0</v>
      </c>
      <c r="Y50" s="60">
        <v>0</v>
      </c>
      <c r="Z50" s="60">
        <v>0</v>
      </c>
      <c r="AA50" s="60">
        <v>0</v>
      </c>
      <c r="AB50" s="60">
        <v>0</v>
      </c>
    </row>
    <row r="51" spans="3:28" ht="15.75">
      <c r="C51" t="s">
        <v>106</v>
      </c>
      <c r="D51" t="s">
        <v>72</v>
      </c>
      <c r="E51">
        <v>-0.68</v>
      </c>
      <c r="F51" t="s">
        <v>72</v>
      </c>
      <c r="G51" s="5">
        <f t="shared" si="60"/>
        <v>-0.68</v>
      </c>
      <c r="H51" s="64" t="s">
        <v>61</v>
      </c>
      <c r="I51" s="15"/>
      <c r="J51" t="s">
        <v>74</v>
      </c>
      <c r="K51" t="s">
        <v>72</v>
      </c>
      <c r="L51" s="60">
        <v>0</v>
      </c>
      <c r="M51" s="60">
        <v>0</v>
      </c>
      <c r="N51" s="60">
        <v>0</v>
      </c>
      <c r="O51" s="60">
        <v>0</v>
      </c>
      <c r="P51" s="60">
        <v>0</v>
      </c>
      <c r="Q51" s="60">
        <v>0</v>
      </c>
      <c r="R51" s="60">
        <v>0</v>
      </c>
      <c r="S51" s="60">
        <v>0</v>
      </c>
      <c r="T51" s="60">
        <v>0</v>
      </c>
      <c r="U51" s="60">
        <v>0</v>
      </c>
      <c r="V51" s="60">
        <v>0</v>
      </c>
      <c r="W51" s="60">
        <v>0</v>
      </c>
      <c r="X51" s="60">
        <v>0</v>
      </c>
      <c r="Y51" s="60">
        <v>0</v>
      </c>
      <c r="Z51" s="60">
        <v>0</v>
      </c>
      <c r="AA51" s="60">
        <v>0</v>
      </c>
      <c r="AB51" s="60">
        <v>0</v>
      </c>
    </row>
    <row r="52" spans="3:28" ht="16.5" thickBot="1">
      <c r="C52" s="13" t="s">
        <v>98</v>
      </c>
      <c r="D52" s="4"/>
      <c r="E52" s="4"/>
      <c r="F52" s="4"/>
      <c r="G52" s="4"/>
      <c r="H52" s="4"/>
      <c r="I52" s="14"/>
      <c r="J52" s="63" t="s">
        <v>605</v>
      </c>
      <c r="K52" s="63" t="s">
        <v>72</v>
      </c>
      <c r="L52" s="61">
        <f>L47+DAC!L21</f>
        <v>233.47559764240194</v>
      </c>
      <c r="M52" s="61">
        <f>M47+DAC!M21</f>
        <v>222.28714333425054</v>
      </c>
      <c r="N52" s="61">
        <f>N47+DAC!N21</f>
        <v>188.52582808638206</v>
      </c>
      <c r="O52" s="61">
        <f>O47+DAC!O21</f>
        <v>166.8200330043133</v>
      </c>
      <c r="P52" s="61">
        <f>P47+DAC!P21</f>
        <v>130.17355975473359</v>
      </c>
      <c r="Q52" s="61">
        <f>Q47+DAC!Q21</f>
        <v>106.9742319177227</v>
      </c>
      <c r="R52" s="61">
        <f>R47+DAC!R21</f>
        <v>82.978287108547519</v>
      </c>
      <c r="S52" s="61">
        <f>S47+DAC!S21</f>
        <v>78.687455432473996</v>
      </c>
      <c r="T52" s="61">
        <f>T47+DAC!T21</f>
        <v>75.947286321206036</v>
      </c>
      <c r="U52" s="61">
        <f>U47+DAC!U21</f>
        <v>74.323830294988909</v>
      </c>
      <c r="V52" s="61">
        <f>V47+DAC!V21</f>
        <v>72.997902978459479</v>
      </c>
      <c r="W52" s="61">
        <f>W47+DAC!W21</f>
        <v>72.739232917572693</v>
      </c>
      <c r="X52" s="61">
        <f>X47+DAC!X21</f>
        <v>72.369154888187467</v>
      </c>
      <c r="Y52" s="61">
        <f>Y47+DAC!Y21</f>
        <v>71.886289473763142</v>
      </c>
      <c r="Z52" s="61">
        <f>Z47+DAC!Z21</f>
        <v>71.482959022272397</v>
      </c>
      <c r="AA52" s="61">
        <f>AA47+DAC!AA21</f>
        <v>71.311458414257785</v>
      </c>
      <c r="AB52" s="61">
        <f>AB47+DAC!AB21</f>
        <v>71.203730721264321</v>
      </c>
    </row>
    <row r="53" spans="3:28" ht="16.5" thickTop="1">
      <c r="C53" t="s">
        <v>66</v>
      </c>
      <c r="D53" t="s">
        <v>67</v>
      </c>
      <c r="E53">
        <v>196.9</v>
      </c>
      <c r="F53" t="s">
        <v>67</v>
      </c>
      <c r="G53" s="5">
        <f>E53</f>
        <v>196.9</v>
      </c>
      <c r="H53" s="64" t="s">
        <v>65</v>
      </c>
      <c r="I53" s="15"/>
      <c r="K53" t="s">
        <v>14</v>
      </c>
      <c r="L53" s="60">
        <f>L36</f>
        <v>18.238564939472582</v>
      </c>
      <c r="M53" s="60">
        <f t="shared" ref="M53:O53" si="61">M36</f>
        <v>18.238564939472582</v>
      </c>
      <c r="N53" s="60">
        <f t="shared" si="61"/>
        <v>18.238564939472582</v>
      </c>
      <c r="O53" s="60">
        <f t="shared" si="61"/>
        <v>14.333187527665034</v>
      </c>
      <c r="P53" s="60">
        <f t="shared" ref="P53:AB53" si="62">P36</f>
        <v>11.276112186448167</v>
      </c>
      <c r="Q53" s="60">
        <f t="shared" si="62"/>
        <v>8.9124994319379329</v>
      </c>
      <c r="R53" s="60">
        <f t="shared" si="62"/>
        <v>7.1761737396139544</v>
      </c>
      <c r="S53" s="60">
        <f t="shared" si="62"/>
        <v>6.1018386835263083</v>
      </c>
      <c r="T53" s="60">
        <f t="shared" si="62"/>
        <v>5.6378140847279381</v>
      </c>
      <c r="U53" s="60">
        <f t="shared" si="62"/>
        <v>5.5009174321437548</v>
      </c>
      <c r="V53" s="60">
        <f t="shared" si="62"/>
        <v>5.4678023174932875</v>
      </c>
      <c r="W53" s="60">
        <f t="shared" si="62"/>
        <v>5.4602685789131939</v>
      </c>
      <c r="X53" s="60">
        <f t="shared" si="62"/>
        <v>5.4585801514147461</v>
      </c>
      <c r="Y53" s="60">
        <f t="shared" si="62"/>
        <v>5.458203040251715</v>
      </c>
      <c r="Z53" s="60">
        <f t="shared" si="62"/>
        <v>5.4581188768256661</v>
      </c>
      <c r="AA53" s="60">
        <f t="shared" si="62"/>
        <v>5.4581000965029816</v>
      </c>
      <c r="AB53" s="60">
        <f t="shared" si="62"/>
        <v>5.458095906000568</v>
      </c>
    </row>
    <row r="54" spans="3:28" ht="15.75">
      <c r="C54" t="s">
        <v>68</v>
      </c>
      <c r="D54" t="s">
        <v>69</v>
      </c>
      <c r="E54">
        <v>169.2</v>
      </c>
      <c r="F54" t="s">
        <v>69</v>
      </c>
      <c r="G54" s="5">
        <f>E54</f>
        <v>169.2</v>
      </c>
      <c r="H54" s="64" t="s">
        <v>65</v>
      </c>
      <c r="I54" s="15"/>
      <c r="K54" t="s">
        <v>19</v>
      </c>
      <c r="L54" s="60">
        <f>L37</f>
        <v>7.5511742249077241</v>
      </c>
      <c r="M54" s="60">
        <f t="shared" ref="M54:O54" si="63">M37</f>
        <v>7.5511742249077241</v>
      </c>
      <c r="N54" s="60">
        <f t="shared" si="63"/>
        <v>7.5511742249077241</v>
      </c>
      <c r="O54" s="60">
        <f t="shared" si="63"/>
        <v>7.5511742249077241</v>
      </c>
      <c r="P54" s="60">
        <f t="shared" ref="P54:AB54" si="64">P37</f>
        <v>7.5511742249077241</v>
      </c>
      <c r="Q54" s="60">
        <f t="shared" si="64"/>
        <v>7.5511742249077241</v>
      </c>
      <c r="R54" s="60">
        <f t="shared" si="64"/>
        <v>7.5511742249077241</v>
      </c>
      <c r="S54" s="60">
        <f t="shared" si="64"/>
        <v>7.5511742249077241</v>
      </c>
      <c r="T54" s="60">
        <f t="shared" si="64"/>
        <v>7.5511742249077241</v>
      </c>
      <c r="U54" s="60">
        <f t="shared" si="64"/>
        <v>7.5511742249077241</v>
      </c>
      <c r="V54" s="60">
        <f t="shared" si="64"/>
        <v>7.5511742249077241</v>
      </c>
      <c r="W54" s="60">
        <f t="shared" si="64"/>
        <v>7.5511742249077241</v>
      </c>
      <c r="X54" s="60">
        <f t="shared" si="64"/>
        <v>7.5511742249077241</v>
      </c>
      <c r="Y54" s="60">
        <f t="shared" si="64"/>
        <v>7.5511742249077241</v>
      </c>
      <c r="Z54" s="60">
        <f t="shared" si="64"/>
        <v>7.5511742249077241</v>
      </c>
      <c r="AA54" s="60">
        <f t="shared" si="64"/>
        <v>7.5511742249077241</v>
      </c>
      <c r="AB54" s="60">
        <f t="shared" si="64"/>
        <v>7.5511742249077241</v>
      </c>
    </row>
    <row r="55" spans="3:28" ht="15.75">
      <c r="I55" s="15"/>
      <c r="K55" t="s">
        <v>20</v>
      </c>
      <c r="L55" s="60">
        <f>L38</f>
        <v>14.983690186418691</v>
      </c>
      <c r="M55" s="60">
        <f t="shared" ref="M55:O55" si="65">M38</f>
        <v>14.983690186418691</v>
      </c>
      <c r="N55" s="60">
        <f t="shared" si="65"/>
        <v>14.983690186418691</v>
      </c>
      <c r="O55" s="60">
        <f t="shared" si="65"/>
        <v>14.983690186418691</v>
      </c>
      <c r="P55" s="60">
        <f t="shared" ref="P55:AB55" si="66">P38</f>
        <v>14.983690186418691</v>
      </c>
      <c r="Q55" s="60">
        <f t="shared" si="66"/>
        <v>14.983690186418691</v>
      </c>
      <c r="R55" s="60">
        <f t="shared" si="66"/>
        <v>14.983690186418691</v>
      </c>
      <c r="S55" s="60">
        <f t="shared" si="66"/>
        <v>14.983690186418691</v>
      </c>
      <c r="T55" s="60">
        <f t="shared" si="66"/>
        <v>14.983690186418691</v>
      </c>
      <c r="U55" s="60">
        <f t="shared" si="66"/>
        <v>14.983690186418691</v>
      </c>
      <c r="V55" s="60">
        <f t="shared" si="66"/>
        <v>14.983690186418691</v>
      </c>
      <c r="W55" s="60">
        <f t="shared" si="66"/>
        <v>14.983690186418691</v>
      </c>
      <c r="X55" s="60">
        <f t="shared" si="66"/>
        <v>14.983690186418691</v>
      </c>
      <c r="Y55" s="60">
        <f t="shared" si="66"/>
        <v>14.983690186418691</v>
      </c>
      <c r="Z55" s="60">
        <f t="shared" si="66"/>
        <v>14.983690186418691</v>
      </c>
      <c r="AA55" s="60">
        <f t="shared" si="66"/>
        <v>14.983690186418691</v>
      </c>
      <c r="AB55" s="60">
        <f t="shared" si="66"/>
        <v>14.983690186418691</v>
      </c>
    </row>
    <row r="56" spans="3:28" ht="15.75">
      <c r="I56" s="15"/>
      <c r="K56" t="s">
        <v>110</v>
      </c>
      <c r="L56" s="60">
        <f>L44</f>
        <v>28.455699999999997</v>
      </c>
      <c r="M56" s="60">
        <f t="shared" ref="M56:O56" si="67">M44</f>
        <v>28.455699999999997</v>
      </c>
      <c r="N56" s="60">
        <f t="shared" si="67"/>
        <v>28.455699999999997</v>
      </c>
      <c r="O56" s="60">
        <f t="shared" si="67"/>
        <v>26.974349999999998</v>
      </c>
      <c r="P56" s="60">
        <f t="shared" ref="P56:AB56" si="68">P44</f>
        <v>25.492999999999999</v>
      </c>
      <c r="Q56" s="60">
        <f t="shared" si="68"/>
        <v>18.568549999999998</v>
      </c>
      <c r="R56" s="60">
        <f t="shared" si="68"/>
        <v>11.644099999999998</v>
      </c>
      <c r="S56" s="60">
        <f t="shared" si="68"/>
        <v>11.196249999999999</v>
      </c>
      <c r="T56" s="60">
        <f t="shared" si="68"/>
        <v>10.748399999999998</v>
      </c>
      <c r="U56" s="60">
        <f t="shared" si="68"/>
        <v>10.300549999999999</v>
      </c>
      <c r="V56" s="60">
        <f t="shared" si="68"/>
        <v>9.8527000000000005</v>
      </c>
      <c r="W56" s="60">
        <f t="shared" si="68"/>
        <v>9.8527000000000005</v>
      </c>
      <c r="X56" s="60">
        <f t="shared" si="68"/>
        <v>9.8527000000000005</v>
      </c>
      <c r="Y56" s="60">
        <f t="shared" si="68"/>
        <v>9.8527000000000005</v>
      </c>
      <c r="Z56" s="60">
        <f t="shared" si="68"/>
        <v>9.8527000000000005</v>
      </c>
      <c r="AA56" s="60">
        <f t="shared" si="68"/>
        <v>9.8527000000000005</v>
      </c>
      <c r="AB56" s="60">
        <f t="shared" si="68"/>
        <v>9.8527000000000005</v>
      </c>
    </row>
    <row r="57" spans="3:28" ht="15.75">
      <c r="I57" s="15"/>
      <c r="K57" t="s">
        <v>111</v>
      </c>
      <c r="L57" s="60">
        <f>L45</f>
        <v>4.2538999999999998</v>
      </c>
      <c r="M57" s="60">
        <f t="shared" ref="M57:O57" si="69">M45</f>
        <v>4.2538999999999998</v>
      </c>
      <c r="N57" s="60">
        <f t="shared" si="69"/>
        <v>4.2538999999999998</v>
      </c>
      <c r="O57" s="60">
        <f t="shared" si="69"/>
        <v>4.0324499999999999</v>
      </c>
      <c r="P57" s="60">
        <f t="shared" ref="P57:AB57" si="70">P45</f>
        <v>3.8109999999999999</v>
      </c>
      <c r="Q57" s="60">
        <f t="shared" si="70"/>
        <v>2.7758499999999997</v>
      </c>
      <c r="R57" s="60">
        <f t="shared" si="70"/>
        <v>1.7406999999999997</v>
      </c>
      <c r="S57" s="60">
        <f t="shared" si="70"/>
        <v>1.6737499999999998</v>
      </c>
      <c r="T57" s="60">
        <f t="shared" si="70"/>
        <v>1.6067999999999998</v>
      </c>
      <c r="U57" s="60">
        <f t="shared" si="70"/>
        <v>1.5398499999999999</v>
      </c>
      <c r="V57" s="60">
        <f t="shared" si="70"/>
        <v>1.4729000000000001</v>
      </c>
      <c r="W57" s="60">
        <f t="shared" si="70"/>
        <v>1.4729000000000001</v>
      </c>
      <c r="X57" s="60">
        <f t="shared" si="70"/>
        <v>1.4729000000000001</v>
      </c>
      <c r="Y57" s="60">
        <f t="shared" si="70"/>
        <v>1.4729000000000001</v>
      </c>
      <c r="Z57" s="60">
        <f t="shared" si="70"/>
        <v>1.4729000000000001</v>
      </c>
      <c r="AA57" s="60">
        <f t="shared" si="70"/>
        <v>1.4729000000000001</v>
      </c>
      <c r="AB57" s="60">
        <f t="shared" si="70"/>
        <v>1.4729000000000001</v>
      </c>
    </row>
    <row r="61" spans="3:28" ht="20.25" thickBot="1">
      <c r="C61" s="65" t="s">
        <v>63</v>
      </c>
      <c r="D61" s="65"/>
      <c r="E61" s="65"/>
      <c r="F61" s="65"/>
      <c r="G61" s="65"/>
      <c r="H61" s="65"/>
      <c r="I61" s="65"/>
      <c r="J61" s="65"/>
      <c r="K61" s="65"/>
      <c r="L61" s="65"/>
      <c r="M61" s="65"/>
      <c r="N61" s="65"/>
      <c r="O61" s="65"/>
      <c r="P61" s="65"/>
      <c r="Q61" s="65"/>
      <c r="R61" s="65"/>
      <c r="S61" s="65"/>
      <c r="T61" s="65"/>
      <c r="U61" s="65"/>
      <c r="V61" s="65"/>
      <c r="W61" s="65"/>
      <c r="X61" s="65"/>
      <c r="Y61" s="65"/>
      <c r="Z61" s="65"/>
      <c r="AA61" s="65"/>
      <c r="AB61" s="65"/>
    </row>
    <row r="62" spans="3:28" ht="17.25" thickTop="1" thickBot="1">
      <c r="C62" s="43" t="s">
        <v>8</v>
      </c>
      <c r="D62" s="43" t="s">
        <v>9</v>
      </c>
      <c r="E62" s="43" t="s">
        <v>10</v>
      </c>
      <c r="F62" s="43" t="s">
        <v>11</v>
      </c>
      <c r="G62" s="43" t="s">
        <v>12</v>
      </c>
      <c r="H62" s="43" t="s">
        <v>13</v>
      </c>
      <c r="I62" s="44"/>
      <c r="J62" s="43" t="s">
        <v>8</v>
      </c>
      <c r="K62" s="43" t="s">
        <v>11</v>
      </c>
      <c r="L62" s="46">
        <v>2020</v>
      </c>
      <c r="M62" s="46">
        <v>2025</v>
      </c>
      <c r="N62" s="46">
        <v>2030</v>
      </c>
      <c r="O62" s="46">
        <v>2035</v>
      </c>
      <c r="P62" s="46">
        <v>2040</v>
      </c>
      <c r="Q62" s="46">
        <v>2045</v>
      </c>
      <c r="R62" s="46">
        <v>2050</v>
      </c>
      <c r="S62" s="46">
        <v>2055</v>
      </c>
      <c r="T62" s="46">
        <v>2060</v>
      </c>
      <c r="U62" s="46">
        <v>2065</v>
      </c>
      <c r="V62" s="46">
        <v>2070</v>
      </c>
      <c r="W62" s="46">
        <v>2075</v>
      </c>
      <c r="X62" s="46">
        <v>2080</v>
      </c>
      <c r="Y62" s="46">
        <v>2085</v>
      </c>
      <c r="Z62" s="46">
        <v>2090</v>
      </c>
      <c r="AA62" s="46">
        <v>2095</v>
      </c>
      <c r="AB62" s="46">
        <v>2100</v>
      </c>
    </row>
    <row r="63" spans="3:28" ht="15.75">
      <c r="C63" t="s">
        <v>14</v>
      </c>
      <c r="D63" t="s">
        <v>88</v>
      </c>
      <c r="E63" s="67">
        <f>(67.3-18.7-11.2)*10^6/159720</f>
        <v>234.15977961432503</v>
      </c>
      <c r="F63" t="s">
        <v>44</v>
      </c>
      <c r="G63" s="8">
        <f>E63*Conversion!$J$8/Conversion!$L$8*B10</f>
        <v>208.41240860745322</v>
      </c>
      <c r="H63" s="64" t="s">
        <v>91</v>
      </c>
      <c r="I63" s="15"/>
      <c r="J63" t="s">
        <v>14</v>
      </c>
      <c r="K63" t="s">
        <v>44</v>
      </c>
      <c r="L63" s="60">
        <f>L69*G63/L67*8760/L68</f>
        <v>18.238564939472582</v>
      </c>
      <c r="M63" s="60">
        <f>$L63*Learning!M46</f>
        <v>18.238564939472582</v>
      </c>
      <c r="N63" s="60">
        <f>$L63*Learning!N46</f>
        <v>18.238564939472582</v>
      </c>
      <c r="O63" s="60">
        <f>$L63*Learning!O46</f>
        <v>14.333187527665034</v>
      </c>
      <c r="P63" s="60">
        <f>$L63*Learning!P46</f>
        <v>11.276112186448167</v>
      </c>
      <c r="Q63" s="60">
        <f>$L63*Learning!Q46</f>
        <v>8.9124994319379329</v>
      </c>
      <c r="R63" s="60">
        <f>$L63*Learning!R46</f>
        <v>7.1761737396139544</v>
      </c>
      <c r="S63" s="60">
        <f>$L63*Learning!S46</f>
        <v>6.1018386835263083</v>
      </c>
      <c r="T63" s="60">
        <f>$L63*Learning!T46</f>
        <v>5.6378140847279381</v>
      </c>
      <c r="U63" s="60">
        <f>$L63*Learning!U46</f>
        <v>5.5009174321437548</v>
      </c>
      <c r="V63" s="60">
        <f>$L63*Learning!V46</f>
        <v>5.4678023174932875</v>
      </c>
      <c r="W63" s="60">
        <f>$L63*Learning!W46</f>
        <v>5.4602685789131939</v>
      </c>
      <c r="X63" s="60">
        <f>$L63*Learning!X46</f>
        <v>5.4585801514147461</v>
      </c>
      <c r="Y63" s="60">
        <f>$L63*Learning!Y46</f>
        <v>5.458203040251715</v>
      </c>
      <c r="Z63" s="60">
        <f>$L63*Learning!Z46</f>
        <v>5.4581188768256661</v>
      </c>
      <c r="AA63" s="60">
        <f>$L63*Learning!AA46</f>
        <v>5.4581000965029816</v>
      </c>
      <c r="AB63" s="60">
        <f>$L63*Learning!AB46</f>
        <v>5.458095906000568</v>
      </c>
    </row>
    <row r="64" spans="3:28" ht="15.75">
      <c r="C64" t="s">
        <v>19</v>
      </c>
      <c r="D64" t="s">
        <v>89</v>
      </c>
      <c r="E64" s="68">
        <v>0.03</v>
      </c>
      <c r="F64" t="s">
        <v>45</v>
      </c>
      <c r="G64" s="8">
        <f>E64*E63*Conversion!$J$8/Conversion!$L$8*B11</f>
        <v>6.2523722582235965</v>
      </c>
      <c r="H64" s="64" t="s">
        <v>91</v>
      </c>
      <c r="I64" s="15"/>
      <c r="J64" t="s">
        <v>19</v>
      </c>
      <c r="K64" t="s">
        <v>45</v>
      </c>
      <c r="L64" s="60">
        <f>G64/L67*8760/L68</f>
        <v>7.5511742249077241</v>
      </c>
      <c r="M64" s="60">
        <f>$L64*Learning!L47</f>
        <v>7.5511742249077241</v>
      </c>
      <c r="N64" s="60">
        <f>$L64*Learning!M47</f>
        <v>7.5511742249077241</v>
      </c>
      <c r="O64" s="60">
        <f>$L64*Learning!N47</f>
        <v>7.5511742249077241</v>
      </c>
      <c r="P64" s="60">
        <f>$L64*Learning!O47</f>
        <v>7.5511742249077241</v>
      </c>
      <c r="Q64" s="60">
        <f>$L64*Learning!P47</f>
        <v>7.5511742249077241</v>
      </c>
      <c r="R64" s="60">
        <f>$L64*Learning!Q47</f>
        <v>7.5511742249077241</v>
      </c>
      <c r="S64" s="60">
        <f>$L64*Learning!R47</f>
        <v>7.5511742249077241</v>
      </c>
      <c r="T64" s="60">
        <f>$L64*Learning!S47</f>
        <v>7.5511742249077241</v>
      </c>
      <c r="U64" s="60">
        <f>$L64*Learning!T47</f>
        <v>7.5511742249077241</v>
      </c>
      <c r="V64" s="60">
        <f>$L64*Learning!U47</f>
        <v>7.5511742249077241</v>
      </c>
      <c r="W64" s="60">
        <f>$L64*Learning!V47</f>
        <v>7.5511742249077241</v>
      </c>
      <c r="X64" s="60">
        <f>$L64*Learning!W47</f>
        <v>7.5511742249077241</v>
      </c>
      <c r="Y64" s="60">
        <f>$L64*Learning!X47</f>
        <v>7.5511742249077241</v>
      </c>
      <c r="Z64" s="60">
        <f>$L64*Learning!Y47</f>
        <v>7.5511742249077241</v>
      </c>
      <c r="AA64" s="60">
        <f>$L64*Learning!Z47</f>
        <v>7.5511742249077241</v>
      </c>
      <c r="AB64" s="60">
        <f>$L64*Learning!AA47</f>
        <v>7.5511742249077241</v>
      </c>
    </row>
    <row r="65" spans="2:28" ht="15.75">
      <c r="B65" t="s">
        <v>288</v>
      </c>
      <c r="C65" t="s">
        <v>20</v>
      </c>
      <c r="D65" t="s">
        <v>92</v>
      </c>
      <c r="E65" s="67">
        <v>0</v>
      </c>
      <c r="F65" t="s">
        <v>45</v>
      </c>
      <c r="G65" s="8">
        <f>E65*Conversion!$J$8/Conversion!$L$8</f>
        <v>0</v>
      </c>
      <c r="H65" s="64" t="s">
        <v>91</v>
      </c>
      <c r="I65" s="15"/>
      <c r="J65" t="s">
        <v>20</v>
      </c>
      <c r="K65" t="s">
        <v>45</v>
      </c>
      <c r="L65" s="60">
        <f>G65/G68</f>
        <v>0</v>
      </c>
      <c r="M65" s="60">
        <f t="shared" ref="M65:O69" si="71">L65</f>
        <v>0</v>
      </c>
      <c r="N65" s="60">
        <f t="shared" si="71"/>
        <v>0</v>
      </c>
      <c r="O65" s="60">
        <f t="shared" si="71"/>
        <v>0</v>
      </c>
      <c r="P65" s="60">
        <f t="shared" ref="P65:P66" si="72">O65</f>
        <v>0</v>
      </c>
      <c r="Q65" s="60">
        <f t="shared" ref="Q65:Q66" si="73">P65</f>
        <v>0</v>
      </c>
      <c r="R65" s="60">
        <f t="shared" ref="R65:R66" si="74">Q65</f>
        <v>0</v>
      </c>
      <c r="S65" s="60">
        <f t="shared" ref="S65:S66" si="75">R65</f>
        <v>0</v>
      </c>
      <c r="T65" s="60">
        <f t="shared" ref="T65:T66" si="76">S65</f>
        <v>0</v>
      </c>
      <c r="U65" s="60">
        <f t="shared" ref="U65:U66" si="77">T65</f>
        <v>0</v>
      </c>
      <c r="V65" s="60">
        <f t="shared" ref="V65:V66" si="78">U65</f>
        <v>0</v>
      </c>
      <c r="W65" s="60">
        <f t="shared" ref="W65:W66" si="79">V65</f>
        <v>0</v>
      </c>
      <c r="X65" s="60">
        <f t="shared" ref="X65:X66" si="80">W65</f>
        <v>0</v>
      </c>
      <c r="Y65" s="60">
        <f t="shared" ref="Y65:Y66" si="81">X65</f>
        <v>0</v>
      </c>
      <c r="Z65" s="60">
        <f t="shared" ref="Z65:Z66" si="82">Y65</f>
        <v>0</v>
      </c>
      <c r="AA65" s="60">
        <f t="shared" ref="AA65:AA66" si="83">Z65</f>
        <v>0</v>
      </c>
      <c r="AB65" s="60">
        <f t="shared" ref="AB65:AB66" si="84">AA65</f>
        <v>0</v>
      </c>
    </row>
    <row r="66" spans="2:28" ht="15.75">
      <c r="C66" t="s">
        <v>15</v>
      </c>
      <c r="D66" t="s">
        <v>21</v>
      </c>
      <c r="E66" s="69">
        <v>50</v>
      </c>
      <c r="F66" t="s">
        <v>21</v>
      </c>
      <c r="G66">
        <f>E66*B13</f>
        <v>50</v>
      </c>
      <c r="H66" s="64" t="s">
        <v>52</v>
      </c>
      <c r="I66" s="15"/>
      <c r="J66" t="s">
        <v>15</v>
      </c>
      <c r="K66" t="s">
        <v>21</v>
      </c>
      <c r="L66" s="60">
        <f>G66</f>
        <v>50</v>
      </c>
      <c r="M66" s="60">
        <f t="shared" si="71"/>
        <v>50</v>
      </c>
      <c r="N66" s="60">
        <f t="shared" si="71"/>
        <v>50</v>
      </c>
      <c r="O66" s="60">
        <f t="shared" si="71"/>
        <v>50</v>
      </c>
      <c r="P66" s="60">
        <f t="shared" si="72"/>
        <v>50</v>
      </c>
      <c r="Q66" s="60">
        <f t="shared" si="73"/>
        <v>50</v>
      </c>
      <c r="R66" s="60">
        <f t="shared" si="74"/>
        <v>50</v>
      </c>
      <c r="S66" s="60">
        <f t="shared" si="75"/>
        <v>50</v>
      </c>
      <c r="T66" s="60">
        <f t="shared" si="76"/>
        <v>50</v>
      </c>
      <c r="U66" s="60">
        <f t="shared" si="77"/>
        <v>50</v>
      </c>
      <c r="V66" s="60">
        <f t="shared" si="78"/>
        <v>50</v>
      </c>
      <c r="W66" s="60">
        <f t="shared" si="79"/>
        <v>50</v>
      </c>
      <c r="X66" s="60">
        <f t="shared" si="80"/>
        <v>50</v>
      </c>
      <c r="Y66" s="60">
        <f t="shared" si="81"/>
        <v>50</v>
      </c>
      <c r="Z66" s="60">
        <f t="shared" si="82"/>
        <v>50</v>
      </c>
      <c r="AA66" s="60">
        <f t="shared" si="83"/>
        <v>50</v>
      </c>
      <c r="AB66" s="60">
        <f t="shared" si="84"/>
        <v>50</v>
      </c>
    </row>
    <row r="67" spans="2:28" ht="15.75">
      <c r="C67" t="s">
        <v>16</v>
      </c>
      <c r="D67" t="s">
        <v>22</v>
      </c>
      <c r="E67" s="70">
        <f>L3*8750</f>
        <v>7875</v>
      </c>
      <c r="F67" t="s">
        <v>22</v>
      </c>
      <c r="G67" s="12">
        <f>E67</f>
        <v>7875</v>
      </c>
      <c r="H67" s="64"/>
      <c r="I67" s="15"/>
      <c r="J67" t="s">
        <v>16</v>
      </c>
      <c r="K67" t="s">
        <v>22</v>
      </c>
      <c r="L67" s="60">
        <f>L3*8760</f>
        <v>7884</v>
      </c>
      <c r="M67" s="60">
        <f t="shared" ref="M67:O67" si="85">M3*8760</f>
        <v>7971.6</v>
      </c>
      <c r="N67" s="60">
        <f t="shared" si="85"/>
        <v>8059.2000000000007</v>
      </c>
      <c r="O67" s="60">
        <f t="shared" si="85"/>
        <v>8146.8</v>
      </c>
      <c r="P67" s="60">
        <f t="shared" ref="P67:AB67" si="86">P3*8760</f>
        <v>8234.4</v>
      </c>
      <c r="Q67" s="60">
        <f t="shared" si="86"/>
        <v>8322</v>
      </c>
      <c r="R67" s="60">
        <f t="shared" si="86"/>
        <v>8322</v>
      </c>
      <c r="S67" s="60">
        <f t="shared" si="86"/>
        <v>8322</v>
      </c>
      <c r="T67" s="60">
        <f t="shared" si="86"/>
        <v>8322</v>
      </c>
      <c r="U67" s="60">
        <f t="shared" si="86"/>
        <v>8322</v>
      </c>
      <c r="V67" s="60">
        <f t="shared" si="86"/>
        <v>8322</v>
      </c>
      <c r="W67" s="60">
        <f t="shared" si="86"/>
        <v>8322</v>
      </c>
      <c r="X67" s="60">
        <f t="shared" si="86"/>
        <v>8322</v>
      </c>
      <c r="Y67" s="60">
        <f t="shared" si="86"/>
        <v>8322</v>
      </c>
      <c r="Z67" s="60">
        <f t="shared" si="86"/>
        <v>8322</v>
      </c>
      <c r="AA67" s="60">
        <f t="shared" si="86"/>
        <v>8322</v>
      </c>
      <c r="AB67" s="60">
        <f t="shared" si="86"/>
        <v>8322</v>
      </c>
    </row>
    <row r="68" spans="2:28" ht="15.75">
      <c r="C68" t="s">
        <v>29</v>
      </c>
      <c r="D68" s="2" t="s">
        <v>7</v>
      </c>
      <c r="E68" s="69">
        <v>0.92</v>
      </c>
      <c r="F68" s="2" t="s">
        <v>7</v>
      </c>
      <c r="G68">
        <f>E68</f>
        <v>0.92</v>
      </c>
      <c r="H68" s="64"/>
      <c r="I68" s="15"/>
      <c r="J68" t="s">
        <v>29</v>
      </c>
      <c r="K68" s="2" t="s">
        <v>7</v>
      </c>
      <c r="L68" s="60">
        <f t="shared" ref="L68" si="87">G68</f>
        <v>0.92</v>
      </c>
      <c r="M68" s="60">
        <f t="shared" si="71"/>
        <v>0.92</v>
      </c>
      <c r="N68" s="60">
        <f t="shared" si="71"/>
        <v>0.92</v>
      </c>
      <c r="O68" s="60">
        <f t="shared" si="71"/>
        <v>0.92</v>
      </c>
      <c r="P68" s="60">
        <f t="shared" ref="P68:P69" si="88">O68</f>
        <v>0.92</v>
      </c>
      <c r="Q68" s="60">
        <f t="shared" ref="Q68:Q69" si="89">P68</f>
        <v>0.92</v>
      </c>
      <c r="R68" s="60">
        <f t="shared" ref="R68:R69" si="90">Q68</f>
        <v>0.92</v>
      </c>
      <c r="S68" s="60">
        <f t="shared" ref="S68:S69" si="91">R68</f>
        <v>0.92</v>
      </c>
      <c r="T68" s="60">
        <f t="shared" ref="T68:T69" si="92">S68</f>
        <v>0.92</v>
      </c>
      <c r="U68" s="60">
        <f t="shared" ref="U68:U69" si="93">T68</f>
        <v>0.92</v>
      </c>
      <c r="V68" s="60">
        <f t="shared" ref="V68:V69" si="94">U68</f>
        <v>0.92</v>
      </c>
      <c r="W68" s="60">
        <f t="shared" ref="W68:W69" si="95">V68</f>
        <v>0.92</v>
      </c>
      <c r="X68" s="60">
        <f t="shared" ref="X68:X69" si="96">W68</f>
        <v>0.92</v>
      </c>
      <c r="Y68" s="60">
        <f t="shared" ref="Y68:Y69" si="97">X68</f>
        <v>0.92</v>
      </c>
      <c r="Z68" s="60">
        <f t="shared" ref="Z68:Z69" si="98">Y68</f>
        <v>0.92</v>
      </c>
      <c r="AA68" s="60">
        <f t="shared" ref="AA68:AA69" si="99">Z68</f>
        <v>0.92</v>
      </c>
      <c r="AB68" s="60">
        <f t="shared" ref="AB68:AB69" si="100">AA68</f>
        <v>0.92</v>
      </c>
    </row>
    <row r="69" spans="2:28" ht="15.75">
      <c r="F69" s="2"/>
      <c r="H69" s="64"/>
      <c r="I69" s="15"/>
      <c r="J69" t="s">
        <v>17</v>
      </c>
      <c r="K69" s="2" t="s">
        <v>7</v>
      </c>
      <c r="L69" s="60">
        <f>(L$2*(1+L$2)^L66)/((1+L$2)^L66-1)</f>
        <v>7.2459849539607685E-2</v>
      </c>
      <c r="M69" s="60">
        <f t="shared" si="71"/>
        <v>7.2459849539607685E-2</v>
      </c>
      <c r="N69" s="60">
        <f t="shared" si="71"/>
        <v>7.2459849539607685E-2</v>
      </c>
      <c r="O69" s="60">
        <f t="shared" si="71"/>
        <v>7.2459849539607685E-2</v>
      </c>
      <c r="P69" s="60">
        <f t="shared" si="88"/>
        <v>7.2459849539607685E-2</v>
      </c>
      <c r="Q69" s="60">
        <f t="shared" si="89"/>
        <v>7.2459849539607685E-2</v>
      </c>
      <c r="R69" s="60">
        <f t="shared" si="90"/>
        <v>7.2459849539607685E-2</v>
      </c>
      <c r="S69" s="60">
        <f t="shared" si="91"/>
        <v>7.2459849539607685E-2</v>
      </c>
      <c r="T69" s="60">
        <f t="shared" si="92"/>
        <v>7.2459849539607685E-2</v>
      </c>
      <c r="U69" s="60">
        <f t="shared" si="93"/>
        <v>7.2459849539607685E-2</v>
      </c>
      <c r="V69" s="60">
        <f t="shared" si="94"/>
        <v>7.2459849539607685E-2</v>
      </c>
      <c r="W69" s="60">
        <f t="shared" si="95"/>
        <v>7.2459849539607685E-2</v>
      </c>
      <c r="X69" s="60">
        <f t="shared" si="96"/>
        <v>7.2459849539607685E-2</v>
      </c>
      <c r="Y69" s="60">
        <f t="shared" si="97"/>
        <v>7.2459849539607685E-2</v>
      </c>
      <c r="Z69" s="60">
        <f t="shared" si="98"/>
        <v>7.2459849539607685E-2</v>
      </c>
      <c r="AA69" s="60">
        <f t="shared" si="99"/>
        <v>7.2459849539607685E-2</v>
      </c>
      <c r="AB69" s="60">
        <f t="shared" si="100"/>
        <v>7.2459849539607685E-2</v>
      </c>
    </row>
    <row r="70" spans="2:28" ht="16.5" thickBot="1">
      <c r="C70" s="13" t="s">
        <v>96</v>
      </c>
      <c r="D70" s="4"/>
      <c r="E70" s="4"/>
      <c r="F70" s="4"/>
      <c r="G70" s="4"/>
      <c r="H70" s="4"/>
      <c r="I70" s="14"/>
      <c r="J70" s="63" t="s">
        <v>603</v>
      </c>
      <c r="K70" s="63" t="s">
        <v>45</v>
      </c>
      <c r="L70" s="61">
        <f>SUM(L63:L65)</f>
        <v>25.789739164380308</v>
      </c>
      <c r="M70" s="61">
        <f t="shared" ref="M70:O70" si="101">SUM(M63:M65)</f>
        <v>25.789739164380308</v>
      </c>
      <c r="N70" s="61">
        <f t="shared" si="101"/>
        <v>25.789739164380308</v>
      </c>
      <c r="O70" s="61">
        <f t="shared" si="101"/>
        <v>21.884361752572758</v>
      </c>
      <c r="P70" s="61">
        <f t="shared" ref="P70:AB70" si="102">SUM(P63:P65)</f>
        <v>18.827286411355892</v>
      </c>
      <c r="Q70" s="61">
        <f t="shared" si="102"/>
        <v>16.463673656845657</v>
      </c>
      <c r="R70" s="61">
        <f t="shared" si="102"/>
        <v>14.727347964521678</v>
      </c>
      <c r="S70" s="61">
        <f t="shared" si="102"/>
        <v>13.653012908434032</v>
      </c>
      <c r="T70" s="61">
        <f t="shared" si="102"/>
        <v>13.188988309635661</v>
      </c>
      <c r="U70" s="61">
        <f t="shared" si="102"/>
        <v>13.052091657051479</v>
      </c>
      <c r="V70" s="61">
        <f t="shared" si="102"/>
        <v>13.018976542401012</v>
      </c>
      <c r="W70" s="61">
        <f t="shared" si="102"/>
        <v>13.011442803820918</v>
      </c>
      <c r="X70" s="61">
        <f t="shared" si="102"/>
        <v>13.009754376322469</v>
      </c>
      <c r="Y70" s="61">
        <f t="shared" si="102"/>
        <v>13.00937726515944</v>
      </c>
      <c r="Z70" s="61">
        <f t="shared" si="102"/>
        <v>13.009293101733391</v>
      </c>
      <c r="AA70" s="61">
        <f t="shared" si="102"/>
        <v>13.009274321410706</v>
      </c>
      <c r="AB70" s="61">
        <f t="shared" si="102"/>
        <v>13.009270130908291</v>
      </c>
    </row>
    <row r="71" spans="2:28" ht="16.5" thickTop="1">
      <c r="C71" t="s">
        <v>23</v>
      </c>
      <c r="D71" t="s">
        <v>108</v>
      </c>
      <c r="E71" s="69">
        <v>592</v>
      </c>
      <c r="F71" t="s">
        <v>26</v>
      </c>
      <c r="G71" s="5">
        <f>E71/1000*B18</f>
        <v>0.59199999999999997</v>
      </c>
      <c r="H71" s="64" t="s">
        <v>61</v>
      </c>
      <c r="I71" s="15"/>
      <c r="J71" t="s">
        <v>23</v>
      </c>
      <c r="K71" t="s">
        <v>45</v>
      </c>
      <c r="L71" s="60">
        <f>$G71*L$4</f>
        <v>24.449599999999997</v>
      </c>
      <c r="M71" s="60">
        <f t="shared" ref="M71:AB71" si="103">$G71*M$4</f>
        <v>24.449599999999997</v>
      </c>
      <c r="N71" s="60">
        <f t="shared" si="103"/>
        <v>24.449599999999997</v>
      </c>
      <c r="O71" s="60">
        <f t="shared" si="103"/>
        <v>23.176799999999997</v>
      </c>
      <c r="P71" s="60">
        <f t="shared" si="103"/>
        <v>21.904</v>
      </c>
      <c r="Q71" s="60">
        <f t="shared" si="103"/>
        <v>15.954399999999998</v>
      </c>
      <c r="R71" s="60">
        <f t="shared" si="103"/>
        <v>10.004799999999999</v>
      </c>
      <c r="S71" s="60">
        <f t="shared" si="103"/>
        <v>9.6199999999999992</v>
      </c>
      <c r="T71" s="60">
        <f t="shared" si="103"/>
        <v>9.235199999999999</v>
      </c>
      <c r="U71" s="60">
        <f t="shared" si="103"/>
        <v>8.8503999999999987</v>
      </c>
      <c r="V71" s="60">
        <f t="shared" si="103"/>
        <v>8.4656000000000002</v>
      </c>
      <c r="W71" s="60">
        <f t="shared" si="103"/>
        <v>8.4656000000000002</v>
      </c>
      <c r="X71" s="60">
        <f t="shared" si="103"/>
        <v>8.4656000000000002</v>
      </c>
      <c r="Y71" s="60">
        <f t="shared" si="103"/>
        <v>8.4656000000000002</v>
      </c>
      <c r="Z71" s="60">
        <f t="shared" si="103"/>
        <v>8.4656000000000002</v>
      </c>
      <c r="AA71" s="60">
        <f t="shared" si="103"/>
        <v>8.4656000000000002</v>
      </c>
      <c r="AB71" s="60">
        <f t="shared" si="103"/>
        <v>8.4656000000000002</v>
      </c>
    </row>
    <row r="72" spans="2:28" ht="15.75">
      <c r="C72" t="s">
        <v>24</v>
      </c>
      <c r="D72" t="s">
        <v>109</v>
      </c>
      <c r="E72" s="69">
        <v>407</v>
      </c>
      <c r="F72" t="s">
        <v>27</v>
      </c>
      <c r="G72" s="5">
        <f>E72/1000*B19</f>
        <v>0.40699999999999997</v>
      </c>
      <c r="H72" s="64" t="s">
        <v>61</v>
      </c>
      <c r="I72" s="15"/>
      <c r="J72" t="s">
        <v>24</v>
      </c>
      <c r="K72" t="s">
        <v>45</v>
      </c>
      <c r="L72" s="60">
        <f>$G72*L$6</f>
        <v>16.809099999999997</v>
      </c>
      <c r="M72" s="60">
        <f t="shared" ref="M72:AB72" si="104">$G72*M$6</f>
        <v>16.809099999999997</v>
      </c>
      <c r="N72" s="60">
        <f t="shared" si="104"/>
        <v>16.809099999999997</v>
      </c>
      <c r="O72" s="60">
        <f t="shared" si="104"/>
        <v>15.934049999999999</v>
      </c>
      <c r="P72" s="60">
        <f t="shared" si="104"/>
        <v>15.058999999999999</v>
      </c>
      <c r="Q72" s="60">
        <f t="shared" si="104"/>
        <v>10.968649999999998</v>
      </c>
      <c r="R72" s="60">
        <f t="shared" si="104"/>
        <v>6.8782999999999985</v>
      </c>
      <c r="S72" s="60">
        <f t="shared" si="104"/>
        <v>6.6137499999999996</v>
      </c>
      <c r="T72" s="60">
        <f t="shared" si="104"/>
        <v>6.3491999999999997</v>
      </c>
      <c r="U72" s="60">
        <f t="shared" si="104"/>
        <v>6.084649999999999</v>
      </c>
      <c r="V72" s="60">
        <f t="shared" si="104"/>
        <v>5.8201000000000001</v>
      </c>
      <c r="W72" s="60">
        <f t="shared" si="104"/>
        <v>5.8201000000000001</v>
      </c>
      <c r="X72" s="60">
        <f t="shared" si="104"/>
        <v>5.8201000000000001</v>
      </c>
      <c r="Y72" s="60">
        <f t="shared" si="104"/>
        <v>5.8201000000000001</v>
      </c>
      <c r="Z72" s="60">
        <f t="shared" si="104"/>
        <v>5.8201000000000001</v>
      </c>
      <c r="AA72" s="60">
        <f t="shared" si="104"/>
        <v>5.8201000000000001</v>
      </c>
      <c r="AB72" s="60">
        <f t="shared" si="104"/>
        <v>5.8201000000000001</v>
      </c>
    </row>
    <row r="73" spans="2:28" ht="15.75">
      <c r="C73" t="s">
        <v>25</v>
      </c>
      <c r="D73" t="s">
        <v>109</v>
      </c>
      <c r="E73" s="69">
        <v>0</v>
      </c>
      <c r="F73" t="s">
        <v>27</v>
      </c>
      <c r="G73" s="5">
        <v>0</v>
      </c>
      <c r="H73" s="64" t="s">
        <v>61</v>
      </c>
      <c r="I73" s="15"/>
      <c r="J73" t="s">
        <v>25</v>
      </c>
      <c r="K73" t="s">
        <v>45</v>
      </c>
      <c r="L73" s="60">
        <f>$G73</f>
        <v>0</v>
      </c>
      <c r="M73" s="60">
        <f t="shared" ref="M73:AB73" si="105">$G73</f>
        <v>0</v>
      </c>
      <c r="N73" s="60">
        <f t="shared" si="105"/>
        <v>0</v>
      </c>
      <c r="O73" s="60">
        <f t="shared" si="105"/>
        <v>0</v>
      </c>
      <c r="P73" s="60">
        <f t="shared" si="105"/>
        <v>0</v>
      </c>
      <c r="Q73" s="60">
        <f t="shared" si="105"/>
        <v>0</v>
      </c>
      <c r="R73" s="60">
        <f t="shared" si="105"/>
        <v>0</v>
      </c>
      <c r="S73" s="60">
        <f t="shared" si="105"/>
        <v>0</v>
      </c>
      <c r="T73" s="60">
        <f t="shared" si="105"/>
        <v>0</v>
      </c>
      <c r="U73" s="60">
        <f t="shared" si="105"/>
        <v>0</v>
      </c>
      <c r="V73" s="60">
        <f t="shared" si="105"/>
        <v>0</v>
      </c>
      <c r="W73" s="60">
        <f t="shared" si="105"/>
        <v>0</v>
      </c>
      <c r="X73" s="60">
        <f t="shared" si="105"/>
        <v>0</v>
      </c>
      <c r="Y73" s="60">
        <f t="shared" si="105"/>
        <v>0</v>
      </c>
      <c r="Z73" s="60">
        <f t="shared" si="105"/>
        <v>0</v>
      </c>
      <c r="AA73" s="60">
        <f t="shared" si="105"/>
        <v>0</v>
      </c>
      <c r="AB73" s="60">
        <f t="shared" si="105"/>
        <v>0</v>
      </c>
    </row>
    <row r="74" spans="2:28" ht="16.5" thickBot="1">
      <c r="C74" s="13" t="s">
        <v>97</v>
      </c>
      <c r="D74" s="4"/>
      <c r="E74" s="4"/>
      <c r="F74" s="4"/>
      <c r="G74" s="4"/>
      <c r="H74" s="4"/>
      <c r="I74" s="14"/>
      <c r="J74" s="63" t="s">
        <v>604</v>
      </c>
      <c r="K74" s="63" t="s">
        <v>45</v>
      </c>
      <c r="L74" s="61">
        <f>SUM(L70:L73)</f>
        <v>67.048439164380298</v>
      </c>
      <c r="M74" s="61">
        <f t="shared" ref="M74:O74" si="106">SUM(M70:M73)</f>
        <v>67.048439164380298</v>
      </c>
      <c r="N74" s="61">
        <f t="shared" si="106"/>
        <v>67.048439164380298</v>
      </c>
      <c r="O74" s="61">
        <f t="shared" si="106"/>
        <v>60.995211752572757</v>
      </c>
      <c r="P74" s="61">
        <f t="shared" ref="P74:AB74" si="107">SUM(P70:P73)</f>
        <v>55.790286411355893</v>
      </c>
      <c r="Q74" s="61">
        <f t="shared" si="107"/>
        <v>43.386723656845653</v>
      </c>
      <c r="R74" s="61">
        <f t="shared" si="107"/>
        <v>31.610447964521679</v>
      </c>
      <c r="S74" s="61">
        <f t="shared" si="107"/>
        <v>29.886762908434033</v>
      </c>
      <c r="T74" s="61">
        <f t="shared" si="107"/>
        <v>28.77338830963566</v>
      </c>
      <c r="U74" s="61">
        <f t="shared" si="107"/>
        <v>27.987141657051477</v>
      </c>
      <c r="V74" s="61">
        <f t="shared" si="107"/>
        <v>27.304676542401012</v>
      </c>
      <c r="W74" s="61">
        <f t="shared" si="107"/>
        <v>27.297142803820918</v>
      </c>
      <c r="X74" s="61">
        <f t="shared" si="107"/>
        <v>27.295454376322471</v>
      </c>
      <c r="Y74" s="61">
        <f t="shared" si="107"/>
        <v>27.295077265159438</v>
      </c>
      <c r="Z74" s="61">
        <f t="shared" si="107"/>
        <v>27.294993101733393</v>
      </c>
      <c r="AA74" s="61">
        <f t="shared" si="107"/>
        <v>27.294974321410706</v>
      </c>
      <c r="AB74" s="61">
        <f t="shared" si="107"/>
        <v>27.294970130908293</v>
      </c>
    </row>
    <row r="75" spans="2:28" ht="16.5" thickTop="1">
      <c r="C75" t="s">
        <v>104</v>
      </c>
      <c r="D75" t="s">
        <v>48</v>
      </c>
      <c r="F75" t="s">
        <v>48</v>
      </c>
      <c r="G75" s="5">
        <f>E75</f>
        <v>0</v>
      </c>
      <c r="H75" s="64"/>
      <c r="I75" s="15"/>
      <c r="J75" t="s">
        <v>47</v>
      </c>
      <c r="K75" t="s">
        <v>48</v>
      </c>
      <c r="L75" s="60">
        <v>0</v>
      </c>
      <c r="M75" s="60">
        <v>0</v>
      </c>
      <c r="N75" s="60">
        <v>0</v>
      </c>
      <c r="O75" s="60">
        <v>0</v>
      </c>
      <c r="P75" s="60">
        <v>0</v>
      </c>
      <c r="Q75" s="60">
        <v>0</v>
      </c>
      <c r="R75" s="60">
        <v>0</v>
      </c>
      <c r="S75" s="60">
        <v>0</v>
      </c>
      <c r="T75" s="60">
        <v>0</v>
      </c>
      <c r="U75" s="60">
        <v>0</v>
      </c>
      <c r="V75" s="60">
        <v>0</v>
      </c>
      <c r="W75" s="60">
        <v>0</v>
      </c>
      <c r="X75" s="60">
        <v>0</v>
      </c>
      <c r="Y75" s="60">
        <v>0</v>
      </c>
      <c r="Z75" s="60">
        <v>0</v>
      </c>
      <c r="AA75" s="60">
        <v>0</v>
      </c>
      <c r="AB75" s="60">
        <v>0</v>
      </c>
    </row>
    <row r="76" spans="2:28" ht="15.75">
      <c r="C76" t="s">
        <v>85</v>
      </c>
      <c r="D76" t="s">
        <v>72</v>
      </c>
      <c r="E76">
        <v>4.4000000000000004</v>
      </c>
      <c r="F76" t="s">
        <v>72</v>
      </c>
      <c r="G76" s="5">
        <f t="shared" ref="G76:G78" si="108">E76</f>
        <v>4.4000000000000004</v>
      </c>
      <c r="H76" s="64" t="s">
        <v>61</v>
      </c>
      <c r="I76" s="15"/>
      <c r="J76" t="s">
        <v>75</v>
      </c>
      <c r="K76" t="s">
        <v>72</v>
      </c>
      <c r="L76" s="60">
        <v>0</v>
      </c>
      <c r="M76" s="60">
        <v>0</v>
      </c>
      <c r="N76" s="60">
        <v>0</v>
      </c>
      <c r="O76" s="60">
        <v>0</v>
      </c>
      <c r="P76" s="60">
        <v>0</v>
      </c>
      <c r="Q76" s="60">
        <v>0</v>
      </c>
      <c r="R76" s="60">
        <v>0</v>
      </c>
      <c r="S76" s="60">
        <v>0</v>
      </c>
      <c r="T76" s="60">
        <v>0</v>
      </c>
      <c r="U76" s="60">
        <v>0</v>
      </c>
      <c r="V76" s="60">
        <v>0</v>
      </c>
      <c r="W76" s="60">
        <v>0</v>
      </c>
      <c r="X76" s="60">
        <v>0</v>
      </c>
      <c r="Y76" s="60">
        <v>0</v>
      </c>
      <c r="Z76" s="60">
        <v>0</v>
      </c>
      <c r="AA76" s="60">
        <v>0</v>
      </c>
      <c r="AB76" s="60">
        <v>0</v>
      </c>
    </row>
    <row r="77" spans="2:28" ht="15.75">
      <c r="C77" t="s">
        <v>107</v>
      </c>
      <c r="D77" t="s">
        <v>72</v>
      </c>
      <c r="E77">
        <v>-2.27</v>
      </c>
      <c r="F77" t="s">
        <v>72</v>
      </c>
      <c r="G77" s="5">
        <f t="shared" si="108"/>
        <v>-2.27</v>
      </c>
      <c r="H77" s="64" t="s">
        <v>61</v>
      </c>
      <c r="I77" s="15"/>
      <c r="J77" t="s">
        <v>73</v>
      </c>
      <c r="K77" t="s">
        <v>72</v>
      </c>
      <c r="L77" s="60">
        <v>0</v>
      </c>
      <c r="M77" s="60">
        <v>0</v>
      </c>
      <c r="N77" s="60">
        <v>0</v>
      </c>
      <c r="O77" s="60">
        <v>0</v>
      </c>
      <c r="P77" s="60">
        <v>0</v>
      </c>
      <c r="Q77" s="60">
        <v>0</v>
      </c>
      <c r="R77" s="60">
        <v>0</v>
      </c>
      <c r="S77" s="60">
        <v>0</v>
      </c>
      <c r="T77" s="60">
        <v>0</v>
      </c>
      <c r="U77" s="60">
        <v>0</v>
      </c>
      <c r="V77" s="60">
        <v>0</v>
      </c>
      <c r="W77" s="60">
        <v>0</v>
      </c>
      <c r="X77" s="60">
        <v>0</v>
      </c>
      <c r="Y77" s="60">
        <v>0</v>
      </c>
      <c r="Z77" s="60">
        <v>0</v>
      </c>
      <c r="AA77" s="60">
        <v>0</v>
      </c>
      <c r="AB77" s="60">
        <v>0</v>
      </c>
    </row>
    <row r="78" spans="2:28" ht="15.75">
      <c r="C78" t="s">
        <v>106</v>
      </c>
      <c r="D78" t="s">
        <v>72</v>
      </c>
      <c r="E78">
        <v>-0.68</v>
      </c>
      <c r="F78" t="s">
        <v>72</v>
      </c>
      <c r="G78" s="5">
        <f t="shared" si="108"/>
        <v>-0.68</v>
      </c>
      <c r="H78" s="64" t="s">
        <v>61</v>
      </c>
      <c r="I78" s="15"/>
      <c r="J78" t="s">
        <v>74</v>
      </c>
      <c r="K78" t="s">
        <v>72</v>
      </c>
      <c r="L78" s="60">
        <v>0</v>
      </c>
      <c r="M78" s="60">
        <v>0</v>
      </c>
      <c r="N78" s="60">
        <v>0</v>
      </c>
      <c r="O78" s="60">
        <v>0</v>
      </c>
      <c r="P78" s="60">
        <v>0</v>
      </c>
      <c r="Q78" s="60">
        <v>0</v>
      </c>
      <c r="R78" s="60">
        <v>0</v>
      </c>
      <c r="S78" s="60">
        <v>0</v>
      </c>
      <c r="T78" s="60">
        <v>0</v>
      </c>
      <c r="U78" s="60">
        <v>0</v>
      </c>
      <c r="V78" s="60">
        <v>0</v>
      </c>
      <c r="W78" s="60">
        <v>0</v>
      </c>
      <c r="X78" s="60">
        <v>0</v>
      </c>
      <c r="Y78" s="60">
        <v>0</v>
      </c>
      <c r="Z78" s="60">
        <v>0</v>
      </c>
      <c r="AA78" s="60">
        <v>0</v>
      </c>
      <c r="AB78" s="60">
        <v>0</v>
      </c>
    </row>
    <row r="79" spans="2:28" ht="16.5" thickBot="1">
      <c r="C79" s="13" t="s">
        <v>98</v>
      </c>
      <c r="D79" s="4"/>
      <c r="E79" s="4"/>
      <c r="F79" s="4"/>
      <c r="G79" s="4"/>
      <c r="H79" s="4"/>
      <c r="I79" s="14"/>
      <c r="J79" s="63" t="s">
        <v>605</v>
      </c>
      <c r="K79" s="63" t="s">
        <v>72</v>
      </c>
      <c r="L79" s="61">
        <f>L74+DAC!L21</f>
        <v>227.04100745598322</v>
      </c>
      <c r="M79" s="61">
        <f>M74+DAC!M21</f>
        <v>215.85255314783183</v>
      </c>
      <c r="N79" s="61">
        <f>N74+DAC!N21</f>
        <v>182.09123789996335</v>
      </c>
      <c r="O79" s="61">
        <f>O74+DAC!O21</f>
        <v>159.94039281789463</v>
      </c>
      <c r="P79" s="61">
        <f>P74+DAC!P21</f>
        <v>122.8488695683149</v>
      </c>
      <c r="Q79" s="61">
        <f>Q74+DAC!Q21</f>
        <v>97.569191731304016</v>
      </c>
      <c r="R79" s="61">
        <f>R74+DAC!R21</f>
        <v>71.492896922128836</v>
      </c>
      <c r="S79" s="61">
        <f>S74+DAC!S21</f>
        <v>67.067515246055308</v>
      </c>
      <c r="T79" s="61">
        <f>T74+DAC!T21</f>
        <v>64.192796134787358</v>
      </c>
      <c r="U79" s="61">
        <f>U74+DAC!U21</f>
        <v>62.434790108570212</v>
      </c>
      <c r="V79" s="61">
        <f>V74+DAC!V21</f>
        <v>60.974312792040784</v>
      </c>
      <c r="W79" s="61">
        <f>W74+DAC!W21</f>
        <v>60.715642731153999</v>
      </c>
      <c r="X79" s="61">
        <f>X74+DAC!X21</f>
        <v>60.345564701768765</v>
      </c>
      <c r="Y79" s="61">
        <f>Y74+DAC!Y21</f>
        <v>59.862699287344441</v>
      </c>
      <c r="Z79" s="61">
        <f>Z74+DAC!Z21</f>
        <v>59.459368835853709</v>
      </c>
      <c r="AA79" s="61">
        <f>AA74+DAC!AA21</f>
        <v>59.287868227839098</v>
      </c>
      <c r="AB79" s="61">
        <f>AB74+DAC!AB21</f>
        <v>59.180140534845634</v>
      </c>
    </row>
    <row r="80" spans="2:28" ht="16.5" thickTop="1">
      <c r="C80" t="s">
        <v>66</v>
      </c>
      <c r="D80" t="s">
        <v>67</v>
      </c>
      <c r="F80" t="s">
        <v>67</v>
      </c>
      <c r="H80" s="64" t="s">
        <v>61</v>
      </c>
      <c r="I80" s="15"/>
      <c r="K80" t="s">
        <v>14</v>
      </c>
      <c r="L80" s="60">
        <f>L63</f>
        <v>18.238564939472582</v>
      </c>
      <c r="M80" s="60">
        <f t="shared" ref="M80:O80" si="109">M63</f>
        <v>18.238564939472582</v>
      </c>
      <c r="N80" s="60">
        <f t="shared" si="109"/>
        <v>18.238564939472582</v>
      </c>
      <c r="O80" s="60">
        <f t="shared" si="109"/>
        <v>14.333187527665034</v>
      </c>
      <c r="P80" s="60">
        <f t="shared" ref="P80:AB80" si="110">P63</f>
        <v>11.276112186448167</v>
      </c>
      <c r="Q80" s="60">
        <f t="shared" si="110"/>
        <v>8.9124994319379329</v>
      </c>
      <c r="R80" s="60">
        <f t="shared" si="110"/>
        <v>7.1761737396139544</v>
      </c>
      <c r="S80" s="60">
        <f t="shared" si="110"/>
        <v>6.1018386835263083</v>
      </c>
      <c r="T80" s="60">
        <f t="shared" si="110"/>
        <v>5.6378140847279381</v>
      </c>
      <c r="U80" s="60">
        <f t="shared" si="110"/>
        <v>5.5009174321437548</v>
      </c>
      <c r="V80" s="60">
        <f t="shared" si="110"/>
        <v>5.4678023174932875</v>
      </c>
      <c r="W80" s="60">
        <f t="shared" si="110"/>
        <v>5.4602685789131939</v>
      </c>
      <c r="X80" s="60">
        <f t="shared" si="110"/>
        <v>5.4585801514147461</v>
      </c>
      <c r="Y80" s="60">
        <f t="shared" si="110"/>
        <v>5.458203040251715</v>
      </c>
      <c r="Z80" s="60">
        <f t="shared" si="110"/>
        <v>5.4581188768256661</v>
      </c>
      <c r="AA80" s="60">
        <f t="shared" si="110"/>
        <v>5.4581000965029816</v>
      </c>
      <c r="AB80" s="60">
        <f t="shared" si="110"/>
        <v>5.458095906000568</v>
      </c>
    </row>
    <row r="81" spans="1:35" ht="15.75">
      <c r="C81" t="s">
        <v>68</v>
      </c>
      <c r="D81" t="s">
        <v>69</v>
      </c>
      <c r="E81">
        <v>20</v>
      </c>
      <c r="F81" t="s">
        <v>69</v>
      </c>
      <c r="G81">
        <f>E81</f>
        <v>20</v>
      </c>
      <c r="H81" s="64" t="s">
        <v>61</v>
      </c>
      <c r="I81" s="15"/>
      <c r="K81" t="s">
        <v>19</v>
      </c>
      <c r="L81" s="60">
        <f>L64</f>
        <v>7.5511742249077241</v>
      </c>
      <c r="M81" s="60">
        <f t="shared" ref="M81:O81" si="111">M64</f>
        <v>7.5511742249077241</v>
      </c>
      <c r="N81" s="60">
        <f t="shared" si="111"/>
        <v>7.5511742249077241</v>
      </c>
      <c r="O81" s="60">
        <f t="shared" si="111"/>
        <v>7.5511742249077241</v>
      </c>
      <c r="P81" s="60">
        <f t="shared" ref="P81:AB81" si="112">P64</f>
        <v>7.5511742249077241</v>
      </c>
      <c r="Q81" s="60">
        <f t="shared" si="112"/>
        <v>7.5511742249077241</v>
      </c>
      <c r="R81" s="60">
        <f t="shared" si="112"/>
        <v>7.5511742249077241</v>
      </c>
      <c r="S81" s="60">
        <f t="shared" si="112"/>
        <v>7.5511742249077241</v>
      </c>
      <c r="T81" s="60">
        <f t="shared" si="112"/>
        <v>7.5511742249077241</v>
      </c>
      <c r="U81" s="60">
        <f t="shared" si="112"/>
        <v>7.5511742249077241</v>
      </c>
      <c r="V81" s="60">
        <f t="shared" si="112"/>
        <v>7.5511742249077241</v>
      </c>
      <c r="W81" s="60">
        <f t="shared" si="112"/>
        <v>7.5511742249077241</v>
      </c>
      <c r="X81" s="60">
        <f t="shared" si="112"/>
        <v>7.5511742249077241</v>
      </c>
      <c r="Y81" s="60">
        <f t="shared" si="112"/>
        <v>7.5511742249077241</v>
      </c>
      <c r="Z81" s="60">
        <f t="shared" si="112"/>
        <v>7.5511742249077241</v>
      </c>
      <c r="AA81" s="60">
        <f t="shared" si="112"/>
        <v>7.5511742249077241</v>
      </c>
      <c r="AB81" s="60">
        <f t="shared" si="112"/>
        <v>7.5511742249077241</v>
      </c>
    </row>
    <row r="82" spans="1:35" ht="15.75">
      <c r="I82" s="15"/>
      <c r="K82" t="s">
        <v>20</v>
      </c>
      <c r="L82" s="60">
        <f>L65</f>
        <v>0</v>
      </c>
      <c r="M82" s="60">
        <f t="shared" ref="M82:O82" si="113">M65</f>
        <v>0</v>
      </c>
      <c r="N82" s="60">
        <f t="shared" si="113"/>
        <v>0</v>
      </c>
      <c r="O82" s="60">
        <f t="shared" si="113"/>
        <v>0</v>
      </c>
      <c r="P82" s="60">
        <f t="shared" ref="P82:AB82" si="114">P65</f>
        <v>0</v>
      </c>
      <c r="Q82" s="60">
        <f t="shared" si="114"/>
        <v>0</v>
      </c>
      <c r="R82" s="60">
        <f t="shared" si="114"/>
        <v>0</v>
      </c>
      <c r="S82" s="60">
        <f t="shared" si="114"/>
        <v>0</v>
      </c>
      <c r="T82" s="60">
        <f t="shared" si="114"/>
        <v>0</v>
      </c>
      <c r="U82" s="60">
        <f t="shared" si="114"/>
        <v>0</v>
      </c>
      <c r="V82" s="60">
        <f t="shared" si="114"/>
        <v>0</v>
      </c>
      <c r="W82" s="60">
        <f t="shared" si="114"/>
        <v>0</v>
      </c>
      <c r="X82" s="60">
        <f t="shared" si="114"/>
        <v>0</v>
      </c>
      <c r="Y82" s="60">
        <f t="shared" si="114"/>
        <v>0</v>
      </c>
      <c r="Z82" s="60">
        <f t="shared" si="114"/>
        <v>0</v>
      </c>
      <c r="AA82" s="60">
        <f t="shared" si="114"/>
        <v>0</v>
      </c>
      <c r="AB82" s="60">
        <f t="shared" si="114"/>
        <v>0</v>
      </c>
    </row>
    <row r="83" spans="1:35" ht="15.75">
      <c r="I83" s="15"/>
      <c r="K83" t="s">
        <v>110</v>
      </c>
      <c r="L83" s="60">
        <f>L71</f>
        <v>24.449599999999997</v>
      </c>
      <c r="M83" s="60">
        <f t="shared" ref="M83:O83" si="115">M71</f>
        <v>24.449599999999997</v>
      </c>
      <c r="N83" s="60">
        <f t="shared" si="115"/>
        <v>24.449599999999997</v>
      </c>
      <c r="O83" s="60">
        <f t="shared" si="115"/>
        <v>23.176799999999997</v>
      </c>
      <c r="P83" s="60">
        <f t="shared" ref="P83:AB83" si="116">P71</f>
        <v>21.904</v>
      </c>
      <c r="Q83" s="60">
        <f t="shared" si="116"/>
        <v>15.954399999999998</v>
      </c>
      <c r="R83" s="60">
        <f t="shared" si="116"/>
        <v>10.004799999999999</v>
      </c>
      <c r="S83" s="60">
        <f t="shared" si="116"/>
        <v>9.6199999999999992</v>
      </c>
      <c r="T83" s="60">
        <f t="shared" si="116"/>
        <v>9.235199999999999</v>
      </c>
      <c r="U83" s="60">
        <f t="shared" si="116"/>
        <v>8.8503999999999987</v>
      </c>
      <c r="V83" s="60">
        <f t="shared" si="116"/>
        <v>8.4656000000000002</v>
      </c>
      <c r="W83" s="60">
        <f t="shared" si="116"/>
        <v>8.4656000000000002</v>
      </c>
      <c r="X83" s="60">
        <f t="shared" si="116"/>
        <v>8.4656000000000002</v>
      </c>
      <c r="Y83" s="60">
        <f t="shared" si="116"/>
        <v>8.4656000000000002</v>
      </c>
      <c r="Z83" s="60">
        <f t="shared" si="116"/>
        <v>8.4656000000000002</v>
      </c>
      <c r="AA83" s="60">
        <f t="shared" si="116"/>
        <v>8.4656000000000002</v>
      </c>
      <c r="AB83" s="60">
        <f t="shared" si="116"/>
        <v>8.4656000000000002</v>
      </c>
    </row>
    <row r="84" spans="1:35" ht="15.75">
      <c r="I84" s="15"/>
      <c r="K84" t="s">
        <v>111</v>
      </c>
      <c r="L84" s="60">
        <f>L72</f>
        <v>16.809099999999997</v>
      </c>
      <c r="M84" s="60">
        <f t="shared" ref="M84:O84" si="117">M72</f>
        <v>16.809099999999997</v>
      </c>
      <c r="N84" s="60">
        <f t="shared" si="117"/>
        <v>16.809099999999997</v>
      </c>
      <c r="O84" s="60">
        <f t="shared" si="117"/>
        <v>15.934049999999999</v>
      </c>
      <c r="P84" s="60">
        <f t="shared" ref="P84:AB84" si="118">P72</f>
        <v>15.058999999999999</v>
      </c>
      <c r="Q84" s="60">
        <f t="shared" si="118"/>
        <v>10.968649999999998</v>
      </c>
      <c r="R84" s="60">
        <f t="shared" si="118"/>
        <v>6.8782999999999985</v>
      </c>
      <c r="S84" s="60">
        <f t="shared" si="118"/>
        <v>6.6137499999999996</v>
      </c>
      <c r="T84" s="60">
        <f t="shared" si="118"/>
        <v>6.3491999999999997</v>
      </c>
      <c r="U84" s="60">
        <f t="shared" si="118"/>
        <v>6.084649999999999</v>
      </c>
      <c r="V84" s="60">
        <f t="shared" si="118"/>
        <v>5.8201000000000001</v>
      </c>
      <c r="W84" s="60">
        <f t="shared" si="118"/>
        <v>5.8201000000000001</v>
      </c>
      <c r="X84" s="60">
        <f t="shared" si="118"/>
        <v>5.8201000000000001</v>
      </c>
      <c r="Y84" s="60">
        <f t="shared" si="118"/>
        <v>5.8201000000000001</v>
      </c>
      <c r="Z84" s="60">
        <f t="shared" si="118"/>
        <v>5.8201000000000001</v>
      </c>
      <c r="AA84" s="60">
        <f t="shared" si="118"/>
        <v>5.8201000000000001</v>
      </c>
      <c r="AB84" s="60">
        <f t="shared" si="118"/>
        <v>5.8201000000000001</v>
      </c>
    </row>
    <row r="89" spans="1:35">
      <c r="A89" t="s">
        <v>753</v>
      </c>
    </row>
    <row r="90" spans="1:35">
      <c r="B90" t="s">
        <v>14</v>
      </c>
      <c r="H90" t="s">
        <v>755</v>
      </c>
      <c r="N90" t="s">
        <v>20</v>
      </c>
      <c r="T90" t="s">
        <v>15</v>
      </c>
      <c r="Z90" t="s">
        <v>653</v>
      </c>
      <c r="AF90" t="s">
        <v>757</v>
      </c>
    </row>
    <row r="91" spans="1:35">
      <c r="C91" t="s">
        <v>754</v>
      </c>
      <c r="I91" t="s">
        <v>754</v>
      </c>
      <c r="O91" t="s">
        <v>754</v>
      </c>
      <c r="U91" t="s">
        <v>754</v>
      </c>
      <c r="AA91" t="s">
        <v>754</v>
      </c>
      <c r="AG91" t="s">
        <v>754</v>
      </c>
    </row>
    <row r="92" spans="1:35">
      <c r="C92" s="11">
        <f>L26</f>
        <v>233.70862588913823</v>
      </c>
      <c r="D92" s="11"/>
      <c r="I92" s="11">
        <f>L26</f>
        <v>233.70862588913823</v>
      </c>
      <c r="J92" s="11"/>
      <c r="O92" s="11">
        <f>L26</f>
        <v>233.70862588913823</v>
      </c>
      <c r="P92" s="11"/>
      <c r="U92" s="11">
        <f>L26</f>
        <v>233.70862588913823</v>
      </c>
      <c r="V92" s="11"/>
      <c r="AA92" s="11">
        <f>L26</f>
        <v>233.70862588913823</v>
      </c>
      <c r="AB92" s="11"/>
      <c r="AG92" s="11">
        <f>L26</f>
        <v>233.70862588913823</v>
      </c>
      <c r="AH92" s="11"/>
    </row>
    <row r="93" spans="1:35">
      <c r="B93">
        <v>0.5</v>
      </c>
      <c r="C93">
        <f t="dataTable" ref="C93:C97" dt2D="0" dtr="0" r1="B10" ca="1"/>
        <v>224.58934341940193</v>
      </c>
      <c r="E93">
        <f>C93/C$92</f>
        <v>0.96098012028849067</v>
      </c>
      <c r="H93">
        <v>0.5</v>
      </c>
      <c r="I93">
        <f t="dataTable" ref="I93:I97" dt2D="0" dtr="0" r1="B11"/>
        <v>229.93303877668438</v>
      </c>
      <c r="K93">
        <f>I93/I$92</f>
        <v>0.98384489619033222</v>
      </c>
      <c r="N93">
        <v>0.5</v>
      </c>
      <c r="O93">
        <f t="dataTable" ref="O93:O97" dt2D="0" dtr="0" r1="B12" ca="1"/>
        <v>226.21678079592888</v>
      </c>
      <c r="Q93">
        <f>O93/O$92</f>
        <v>0.96794365178132891</v>
      </c>
      <c r="T93">
        <v>0.5</v>
      </c>
      <c r="U93">
        <f t="dataTable" ref="U93:U97" dt2D="0" dtr="0" r1="B13" ca="1"/>
        <v>237.069066478422</v>
      </c>
      <c r="W93">
        <f>U93/U$92</f>
        <v>1.0143787614877247</v>
      </c>
      <c r="Z93">
        <v>0.5</v>
      </c>
      <c r="AA93">
        <f t="dataTable" ref="AA93:AA97" dt2D="0" dtr="0" r1="B18" ca="1"/>
        <v>224.31287588913824</v>
      </c>
      <c r="AC93">
        <f>AA93/AA$92</f>
        <v>0.95979716211049504</v>
      </c>
      <c r="AF93">
        <v>0.5</v>
      </c>
      <c r="AG93">
        <f t="dataTable" ref="AG93:AG97" dt2D="0" dtr="0" r1="B19" ca="1"/>
        <v>226.63306176577009</v>
      </c>
      <c r="AI93">
        <f>AG93/AG$92</f>
        <v>0.96972484821024751</v>
      </c>
    </row>
    <row r="94" spans="1:35">
      <c r="B94">
        <v>0.75</v>
      </c>
      <c r="C94">
        <v>229.14898465427007</v>
      </c>
      <c r="E94">
        <f t="shared" ref="E94:E97" si="119">C94/C$92</f>
        <v>0.98049006014424533</v>
      </c>
      <c r="H94">
        <v>0.75</v>
      </c>
      <c r="I94">
        <v>231.82083233291129</v>
      </c>
      <c r="K94">
        <f t="shared" ref="K94:K97" si="120">I94/I$92</f>
        <v>0.99192244809516605</v>
      </c>
      <c r="N94">
        <v>0.75</v>
      </c>
      <c r="O94">
        <v>229.96270334253356</v>
      </c>
      <c r="Q94">
        <f t="shared" ref="Q94:Q97" si="121">O94/O$92</f>
        <v>0.98397182589066445</v>
      </c>
      <c r="T94">
        <v>0.75</v>
      </c>
      <c r="U94">
        <v>234.60261505193841</v>
      </c>
      <c r="W94">
        <f t="shared" ref="W94:W97" si="122">U94/U$92</f>
        <v>1.0038252296396808</v>
      </c>
      <c r="Z94">
        <v>0.75</v>
      </c>
      <c r="AA94">
        <v>229.01075088913822</v>
      </c>
      <c r="AC94">
        <f>AA94/AA$92</f>
        <v>0.97989858105524741</v>
      </c>
      <c r="AF94">
        <v>0.75</v>
      </c>
      <c r="AG94">
        <v>230.17084382745415</v>
      </c>
      <c r="AI94">
        <f>AG94/AG$92</f>
        <v>0.9848624241051237</v>
      </c>
    </row>
    <row r="95" spans="1:35">
      <c r="B95">
        <v>1</v>
      </c>
      <c r="C95">
        <v>233.70862588913823</v>
      </c>
      <c r="E95">
        <f t="shared" si="119"/>
        <v>1</v>
      </c>
      <c r="H95">
        <v>1</v>
      </c>
      <c r="I95">
        <v>233.70862588913823</v>
      </c>
      <c r="K95">
        <f t="shared" si="120"/>
        <v>1</v>
      </c>
      <c r="N95">
        <v>1</v>
      </c>
      <c r="O95">
        <v>233.70862588913823</v>
      </c>
      <c r="Q95">
        <f t="shared" si="121"/>
        <v>1</v>
      </c>
      <c r="T95">
        <v>1</v>
      </c>
      <c r="U95">
        <v>233.70862588913823</v>
      </c>
      <c r="W95">
        <f t="shared" si="122"/>
        <v>1</v>
      </c>
      <c r="Z95">
        <v>1</v>
      </c>
      <c r="AA95">
        <v>233.70862588913823</v>
      </c>
      <c r="AC95">
        <f>AA95/AA$92</f>
        <v>1</v>
      </c>
      <c r="AF95">
        <v>1</v>
      </c>
      <c r="AG95">
        <v>233.70862588913823</v>
      </c>
      <c r="AI95">
        <f>AG95/AG$92</f>
        <v>1</v>
      </c>
    </row>
    <row r="96" spans="1:35">
      <c r="B96">
        <v>1.25</v>
      </c>
      <c r="C96">
        <v>238.26826712400637</v>
      </c>
      <c r="E96">
        <f t="shared" si="119"/>
        <v>1.0195099398557546</v>
      </c>
      <c r="H96">
        <v>1.25</v>
      </c>
      <c r="I96">
        <v>235.59641944536514</v>
      </c>
      <c r="K96">
        <f t="shared" si="120"/>
        <v>1.0080775519048339</v>
      </c>
      <c r="N96">
        <v>1.25</v>
      </c>
      <c r="O96">
        <v>237.45454843574288</v>
      </c>
      <c r="Q96">
        <f t="shared" si="121"/>
        <v>1.0160281741093353</v>
      </c>
      <c r="T96">
        <v>1.25</v>
      </c>
      <c r="U96">
        <v>233.35001094543514</v>
      </c>
      <c r="W96">
        <f t="shared" si="122"/>
        <v>0.99846554682207922</v>
      </c>
      <c r="Z96">
        <v>1.25</v>
      </c>
      <c r="AA96">
        <v>238.40650088913821</v>
      </c>
      <c r="AC96">
        <f>AA96/AA$92</f>
        <v>1.0201014189447524</v>
      </c>
      <c r="AF96">
        <v>1.25</v>
      </c>
      <c r="AG96">
        <v>237.24640795082229</v>
      </c>
      <c r="AI96">
        <f>AG96/AG$92</f>
        <v>1.0151375758948762</v>
      </c>
    </row>
    <row r="97" spans="2:35">
      <c r="B97">
        <v>1.5</v>
      </c>
      <c r="C97">
        <v>242.82790835887451</v>
      </c>
      <c r="E97">
        <f t="shared" si="119"/>
        <v>1.0390198797115091</v>
      </c>
      <c r="H97">
        <v>1.5</v>
      </c>
      <c r="I97">
        <v>237.48421300159208</v>
      </c>
      <c r="K97">
        <f t="shared" si="120"/>
        <v>1.0161551038096679</v>
      </c>
      <c r="N97">
        <v>1.5</v>
      </c>
      <c r="O97">
        <v>241.20047098234755</v>
      </c>
      <c r="Q97">
        <f t="shared" si="121"/>
        <v>1.0320563482186711</v>
      </c>
      <c r="T97">
        <v>1.5</v>
      </c>
      <c r="U97">
        <v>233.2003678268226</v>
      </c>
      <c r="W97">
        <f t="shared" si="122"/>
        <v>0.99782524902372782</v>
      </c>
      <c r="Z97">
        <v>1.5</v>
      </c>
      <c r="AA97">
        <v>243.10437588913823</v>
      </c>
      <c r="AC97">
        <f>AA97/AA$92</f>
        <v>1.040202837889505</v>
      </c>
      <c r="AF97">
        <v>1.5</v>
      </c>
      <c r="AG97">
        <v>240.78419001250637</v>
      </c>
      <c r="AI97">
        <f>AG97/AG$92</f>
        <v>1.0302751517897526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289D6-2B58-164D-A870-FB375F04F829}">
  <sheetPr>
    <tabColor theme="7" tint="0.59999389629810485"/>
  </sheetPr>
  <dimension ref="A1:AB50"/>
  <sheetViews>
    <sheetView topLeftCell="B51" zoomScale="125" zoomScaleNormal="80" workbookViewId="0">
      <selection activeCell="D64" sqref="D64"/>
    </sheetView>
  </sheetViews>
  <sheetFormatPr defaultColWidth="11.5546875" defaultRowHeight="15"/>
  <sheetData>
    <row r="1" spans="1:28">
      <c r="A1" s="24"/>
    </row>
    <row r="2" spans="1:28">
      <c r="J2" t="s">
        <v>4</v>
      </c>
      <c r="K2" s="2" t="s">
        <v>7</v>
      </c>
      <c r="L2" s="1">
        <f>Global!D3</f>
        <v>7.0000000000000007E-2</v>
      </c>
      <c r="M2" s="1">
        <f>Global!E3</f>
        <v>7.0000000000000007E-2</v>
      </c>
      <c r="N2" s="1">
        <f>Global!F3</f>
        <v>7.0000000000000007E-2</v>
      </c>
      <c r="O2" s="1">
        <f>Global!G3</f>
        <v>7.0000000000000007E-2</v>
      </c>
      <c r="P2" s="1">
        <f>Global!H3</f>
        <v>7.0000000000000007E-2</v>
      </c>
      <c r="Q2" s="1">
        <f>Global!I3</f>
        <v>7.0000000000000007E-2</v>
      </c>
      <c r="R2" s="1">
        <f>Global!J3</f>
        <v>7.0000000000000007E-2</v>
      </c>
      <c r="S2" s="1">
        <f>Global!K3</f>
        <v>7.0000000000000007E-2</v>
      </c>
      <c r="T2" s="1">
        <f>Global!L3</f>
        <v>7.0000000000000007E-2</v>
      </c>
      <c r="U2" s="1">
        <f>Global!M3</f>
        <v>7.0000000000000007E-2</v>
      </c>
      <c r="V2" s="1">
        <f>Global!N3</f>
        <v>7.0000000000000007E-2</v>
      </c>
      <c r="W2" s="1">
        <f>Global!O3</f>
        <v>7.0000000000000007E-2</v>
      </c>
      <c r="X2" s="1">
        <f>Global!P3</f>
        <v>7.0000000000000007E-2</v>
      </c>
      <c r="Y2" s="1">
        <f>Global!Q3</f>
        <v>7.0000000000000007E-2</v>
      </c>
      <c r="Z2" s="1">
        <f>Global!R3</f>
        <v>7.0000000000000007E-2</v>
      </c>
      <c r="AA2" s="1">
        <f>Global!S3</f>
        <v>7.0000000000000007E-2</v>
      </c>
      <c r="AB2" s="1">
        <f>Global!T3</f>
        <v>7.0000000000000007E-2</v>
      </c>
    </row>
    <row r="3" spans="1:28">
      <c r="J3" t="s">
        <v>281</v>
      </c>
      <c r="K3" t="s">
        <v>7</v>
      </c>
      <c r="L3" s="1">
        <f>Global!D4</f>
        <v>0.9</v>
      </c>
      <c r="M3" s="1">
        <f>Global!E4</f>
        <v>0.91</v>
      </c>
      <c r="N3" s="1">
        <f>Global!F4</f>
        <v>0.92</v>
      </c>
      <c r="O3" s="1">
        <f>Global!G4</f>
        <v>0.93</v>
      </c>
      <c r="P3" s="1">
        <f>Global!H4</f>
        <v>0.94</v>
      </c>
      <c r="Q3" s="1">
        <f>Global!I4</f>
        <v>0.95</v>
      </c>
      <c r="R3" s="1">
        <f>Global!J4</f>
        <v>0.95</v>
      </c>
      <c r="S3" s="1">
        <f>Global!K4</f>
        <v>0.95</v>
      </c>
      <c r="T3" s="1">
        <f>Global!L4</f>
        <v>0.95</v>
      </c>
      <c r="U3" s="1">
        <f>Global!M4</f>
        <v>0.95</v>
      </c>
      <c r="V3" s="1">
        <f>Global!N4</f>
        <v>0.95</v>
      </c>
      <c r="W3" s="1">
        <f>Global!O4</f>
        <v>0.95</v>
      </c>
      <c r="X3" s="1">
        <f>Global!P4</f>
        <v>0.95</v>
      </c>
      <c r="Y3" s="1">
        <f>Global!Q4</f>
        <v>0.95</v>
      </c>
      <c r="Z3" s="1">
        <f>Global!R4</f>
        <v>0.95</v>
      </c>
      <c r="AA3" s="1">
        <f>Global!S4</f>
        <v>0.95</v>
      </c>
      <c r="AB3" s="1">
        <f>Global!T4</f>
        <v>0.95</v>
      </c>
    </row>
    <row r="4" spans="1:28">
      <c r="J4" t="s">
        <v>5</v>
      </c>
      <c r="K4" t="s">
        <v>18</v>
      </c>
      <c r="L4" s="8">
        <f>Global!D5</f>
        <v>41.3</v>
      </c>
      <c r="M4" s="8">
        <f>Global!E5</f>
        <v>41.3</v>
      </c>
      <c r="N4" s="8">
        <f>Global!F5</f>
        <v>41.3</v>
      </c>
      <c r="O4" s="8">
        <f>Global!G5</f>
        <v>39.15</v>
      </c>
      <c r="P4" s="8">
        <f>Global!H5</f>
        <v>37</v>
      </c>
      <c r="Q4" s="8">
        <f>Global!I5</f>
        <v>26.95</v>
      </c>
      <c r="R4" s="8">
        <f>Global!J5</f>
        <v>16.899999999999999</v>
      </c>
      <c r="S4" s="8">
        <f>Global!K5</f>
        <v>16.25</v>
      </c>
      <c r="T4" s="8">
        <f>Global!L5</f>
        <v>15.6</v>
      </c>
      <c r="U4" s="8">
        <f>Global!M5</f>
        <v>14.95</v>
      </c>
      <c r="V4" s="8">
        <f>Global!N5</f>
        <v>14.3</v>
      </c>
      <c r="W4" s="8">
        <f>Global!O5</f>
        <v>14.3</v>
      </c>
      <c r="X4" s="8">
        <f>Global!P5</f>
        <v>14.3</v>
      </c>
      <c r="Y4" s="8">
        <f>Global!Q5</f>
        <v>14.3</v>
      </c>
      <c r="Z4" s="8">
        <f>Global!R5</f>
        <v>14.3</v>
      </c>
      <c r="AA4" s="8">
        <f>Global!S5</f>
        <v>14.3</v>
      </c>
      <c r="AB4" s="8">
        <f>Global!T5</f>
        <v>14.3</v>
      </c>
    </row>
    <row r="5" spans="1:28">
      <c r="J5" t="s">
        <v>102</v>
      </c>
      <c r="K5" t="s">
        <v>18</v>
      </c>
      <c r="L5" s="8">
        <f>'Heat Pump'!L21</f>
        <v>31.307805855611274</v>
      </c>
      <c r="M5" s="8">
        <f>'Heat Pump'!M21</f>
        <v>30.416236560494667</v>
      </c>
      <c r="N5" s="8">
        <f>'Heat Pump'!N21</f>
        <v>29.585615229120528</v>
      </c>
      <c r="O5" s="8">
        <f>'Heat Pump'!O21</f>
        <v>27.849748754278188</v>
      </c>
      <c r="P5" s="8">
        <f>'Heat Pump'!P21</f>
        <v>23.919621590160457</v>
      </c>
      <c r="Q5" s="8">
        <f>'Heat Pump'!Q21</f>
        <v>19.200512394758157</v>
      </c>
      <c r="R5" s="8">
        <f>'Heat Pump'!R21</f>
        <v>14.27121729113917</v>
      </c>
      <c r="S5" s="8">
        <f>'Heat Pump'!S21</f>
        <v>13.804357412106913</v>
      </c>
      <c r="T5" s="8">
        <f>'Heat Pump'!T21</f>
        <v>13.36579207119782</v>
      </c>
      <c r="U5" s="8">
        <f>'Heat Pump'!U21</f>
        <v>12.953024691518676</v>
      </c>
      <c r="V5" s="8">
        <f>'Heat Pump'!V21</f>
        <v>12.563844019249771</v>
      </c>
      <c r="W5" s="8">
        <f>'Heat Pump'!W21</f>
        <v>12.563844019249771</v>
      </c>
      <c r="X5" s="8">
        <f>'Heat Pump'!X21</f>
        <v>12.563844019249771</v>
      </c>
      <c r="Y5" s="8">
        <f>'Heat Pump'!Y21</f>
        <v>12.563844019249771</v>
      </c>
      <c r="Z5" s="8">
        <f>'Heat Pump'!Z21</f>
        <v>12.563844019249771</v>
      </c>
      <c r="AA5" s="8">
        <f>'Heat Pump'!AA21</f>
        <v>12.563844019249771</v>
      </c>
      <c r="AB5" s="8">
        <f>'Heat Pump'!AB21</f>
        <v>12.563844019249771</v>
      </c>
    </row>
    <row r="6" spans="1:28">
      <c r="J6" t="s">
        <v>103</v>
      </c>
      <c r="K6" t="s">
        <v>18</v>
      </c>
      <c r="L6" s="8">
        <f>L4</f>
        <v>41.3</v>
      </c>
      <c r="M6" s="8">
        <f t="shared" ref="M6:AB6" si="0">M4</f>
        <v>41.3</v>
      </c>
      <c r="N6" s="8">
        <f t="shared" si="0"/>
        <v>41.3</v>
      </c>
      <c r="O6" s="8">
        <f t="shared" si="0"/>
        <v>39.15</v>
      </c>
      <c r="P6" s="8">
        <f t="shared" si="0"/>
        <v>37</v>
      </c>
      <c r="Q6" s="8">
        <f t="shared" si="0"/>
        <v>26.95</v>
      </c>
      <c r="R6" s="8">
        <f t="shared" si="0"/>
        <v>16.899999999999999</v>
      </c>
      <c r="S6" s="8">
        <f t="shared" si="0"/>
        <v>16.25</v>
      </c>
      <c r="T6" s="8">
        <f t="shared" si="0"/>
        <v>15.6</v>
      </c>
      <c r="U6" s="8">
        <f t="shared" si="0"/>
        <v>14.95</v>
      </c>
      <c r="V6" s="8">
        <f t="shared" si="0"/>
        <v>14.3</v>
      </c>
      <c r="W6" s="8">
        <f t="shared" si="0"/>
        <v>14.3</v>
      </c>
      <c r="X6" s="8">
        <f t="shared" si="0"/>
        <v>14.3</v>
      </c>
      <c r="Y6" s="8">
        <f t="shared" si="0"/>
        <v>14.3</v>
      </c>
      <c r="Z6" s="8">
        <f t="shared" si="0"/>
        <v>14.3</v>
      </c>
      <c r="AA6" s="8">
        <f t="shared" si="0"/>
        <v>14.3</v>
      </c>
      <c r="AB6" s="8">
        <f t="shared" si="0"/>
        <v>14.3</v>
      </c>
    </row>
    <row r="7" spans="1:28">
      <c r="J7" t="s">
        <v>630</v>
      </c>
      <c r="K7" t="s">
        <v>631</v>
      </c>
      <c r="L7" s="8">
        <f>Mining!L19+Transport!L19*200+Comminution!L19</f>
        <v>31.268959979997803</v>
      </c>
      <c r="M7" s="8">
        <f>Mining!M19+Transport!M19*200+Comminution!M19</f>
        <v>31.268959979997803</v>
      </c>
      <c r="N7" s="8">
        <f>Mining!N19+Transport!N19*200+Comminution!N19</f>
        <v>31.268959979997803</v>
      </c>
      <c r="O7" s="8">
        <f>Mining!O19+Transport!O19*200+Comminution!O19</f>
        <v>30.389571279997803</v>
      </c>
      <c r="P7" s="8">
        <f>Mining!P19+Transport!P19*200+Comminution!P19</f>
        <v>29.510182579997803</v>
      </c>
      <c r="Q7" s="8">
        <f>Mining!Q19+Transport!Q19*200+Comminution!Q19</f>
        <v>25.399551679997799</v>
      </c>
      <c r="R7" s="8">
        <f>Mining!R19+Transport!R19*200+Comminution!R19</f>
        <v>21.288920779997799</v>
      </c>
      <c r="S7" s="8">
        <f>Mining!S19+Transport!S19*200+Comminution!S19</f>
        <v>21.023059079997804</v>
      </c>
      <c r="T7" s="8">
        <f>Mining!T19+Transport!T19*200+Comminution!T19</f>
        <v>20.757197379997798</v>
      </c>
      <c r="U7" s="8">
        <f>Mining!U19+Transport!U19*200+Comminution!U19</f>
        <v>20.4913356799978</v>
      </c>
      <c r="V7" s="8">
        <f>Mining!V19+Transport!V19*200+Comminution!V19</f>
        <v>20.225473979997805</v>
      </c>
      <c r="W7" s="8">
        <f>Mining!W19+Transport!W19*200+Comminution!W19</f>
        <v>20.225473979997805</v>
      </c>
      <c r="X7" s="8">
        <f>Mining!X19+Transport!X19*200+Comminution!X19</f>
        <v>20.225473979997805</v>
      </c>
      <c r="Y7" s="8">
        <f>Mining!Y19+Transport!Y19*200+Comminution!Y19</f>
        <v>20.225473979997805</v>
      </c>
      <c r="Z7" s="8">
        <f>Mining!Z19+Transport!Z19*200+Comminution!Z19</f>
        <v>20.225473979997805</v>
      </c>
      <c r="AA7" s="8">
        <f>Mining!AA19+Transport!AA19*200+Comminution!AA19</f>
        <v>20.225473979997805</v>
      </c>
      <c r="AB7" s="8">
        <f>Mining!AB19+Transport!AB19*200+Comminution!AB19</f>
        <v>20.225473979997805</v>
      </c>
    </row>
    <row r="8" spans="1:28" ht="20.25" thickBot="1">
      <c r="B8" s="25" t="s">
        <v>756</v>
      </c>
      <c r="C8" s="65" t="s">
        <v>122</v>
      </c>
      <c r="D8" s="65"/>
      <c r="E8" s="65"/>
      <c r="F8" s="65"/>
      <c r="G8" s="65"/>
      <c r="H8" s="65"/>
      <c r="I8" s="65"/>
      <c r="J8" s="65"/>
      <c r="K8" s="65"/>
      <c r="L8" s="65"/>
      <c r="M8" s="65"/>
      <c r="N8" s="65"/>
      <c r="O8" s="65"/>
      <c r="P8" s="65"/>
      <c r="Q8" s="65"/>
      <c r="R8" s="65"/>
      <c r="S8" s="65"/>
      <c r="T8" s="65"/>
      <c r="U8" s="65"/>
      <c r="V8" s="65"/>
      <c r="W8" s="65"/>
      <c r="X8" s="65"/>
      <c r="Y8" s="65"/>
      <c r="Z8" s="65"/>
      <c r="AA8" s="65"/>
      <c r="AB8" s="65"/>
    </row>
    <row r="9" spans="1:28" ht="17.25" thickTop="1" thickBot="1">
      <c r="C9" s="43" t="s">
        <v>8</v>
      </c>
      <c r="D9" s="43" t="s">
        <v>9</v>
      </c>
      <c r="E9" s="43" t="s">
        <v>10</v>
      </c>
      <c r="F9" s="43" t="s">
        <v>11</v>
      </c>
      <c r="G9" s="43" t="s">
        <v>12</v>
      </c>
      <c r="H9" s="43" t="s">
        <v>13</v>
      </c>
      <c r="I9" s="44"/>
      <c r="J9" s="43" t="s">
        <v>8</v>
      </c>
      <c r="K9" s="43" t="s">
        <v>11</v>
      </c>
      <c r="L9" s="46">
        <v>2020</v>
      </c>
      <c r="M9" s="46">
        <v>2025</v>
      </c>
      <c r="N9" s="46">
        <v>2030</v>
      </c>
      <c r="O9" s="46">
        <v>2035</v>
      </c>
      <c r="P9" s="46">
        <v>2040</v>
      </c>
      <c r="Q9" s="46">
        <v>2045</v>
      </c>
      <c r="R9" s="46">
        <v>2050</v>
      </c>
      <c r="S9" s="46">
        <v>2055</v>
      </c>
      <c r="T9" s="46">
        <v>2060</v>
      </c>
      <c r="U9" s="46">
        <v>2065</v>
      </c>
      <c r="V9" s="46">
        <v>2070</v>
      </c>
      <c r="W9" s="46">
        <v>2075</v>
      </c>
      <c r="X9" s="46">
        <v>2080</v>
      </c>
      <c r="Y9" s="46">
        <v>2085</v>
      </c>
      <c r="Z9" s="46">
        <v>2090</v>
      </c>
      <c r="AA9" s="46">
        <v>2095</v>
      </c>
      <c r="AB9" s="46">
        <v>2100</v>
      </c>
    </row>
    <row r="10" spans="1:28" ht="15.75">
      <c r="B10">
        <v>1</v>
      </c>
      <c r="C10" t="s">
        <v>14</v>
      </c>
      <c r="D10" t="s">
        <v>608</v>
      </c>
      <c r="E10" s="8">
        <v>5</v>
      </c>
      <c r="F10" t="s">
        <v>44</v>
      </c>
      <c r="G10" s="8">
        <f>E10*Conversion!J8/Conversion!E8/1.2*B10</f>
        <v>4.4249999999999998</v>
      </c>
      <c r="H10" s="64" t="s">
        <v>112</v>
      </c>
      <c r="I10" s="15"/>
      <c r="J10" t="s">
        <v>14</v>
      </c>
      <c r="K10" t="s">
        <v>45</v>
      </c>
      <c r="L10" s="60">
        <f>L16*G10/L14*8760/L15</f>
        <v>0.35626092690307115</v>
      </c>
      <c r="M10" s="60">
        <f>$L$10*Learning!L54</f>
        <v>0.35626092690307115</v>
      </c>
      <c r="N10" s="60">
        <f>$L$10*Learning!M54</f>
        <v>0.35626092690307115</v>
      </c>
      <c r="O10" s="60">
        <f>$L$10*Learning!N54</f>
        <v>0.35626092690307115</v>
      </c>
      <c r="P10" s="60">
        <f>$L$10*Learning!O54</f>
        <v>0.35626092690307115</v>
      </c>
      <c r="Q10" s="60">
        <f>$L$10*Learning!P54</f>
        <v>0.35626092690307115</v>
      </c>
      <c r="R10" s="60">
        <f>$L$10*Learning!Q54</f>
        <v>0.35626092690307115</v>
      </c>
      <c r="S10" s="60">
        <f>$L$10*Learning!R54</f>
        <v>0.35626092690307115</v>
      </c>
      <c r="T10" s="60">
        <f>$L$10*Learning!S54</f>
        <v>0.35626092690307115</v>
      </c>
      <c r="U10" s="60">
        <f>$L$10*Learning!T54</f>
        <v>0.35626092690307115</v>
      </c>
      <c r="V10" s="60">
        <f>$L$10*Learning!U54</f>
        <v>0.35626092690307115</v>
      </c>
      <c r="W10" s="60">
        <f>$L$10*Learning!V54</f>
        <v>0.35626092690307115</v>
      </c>
      <c r="X10" s="60">
        <f>$L$10*Learning!W54</f>
        <v>0.35626092690307115</v>
      </c>
      <c r="Y10" s="60">
        <f>$L$10*Learning!X54</f>
        <v>0.35626092690307115</v>
      </c>
      <c r="Z10" s="60">
        <f>$L$10*Learning!Y54</f>
        <v>0.35626092690307115</v>
      </c>
      <c r="AA10" s="60">
        <f>$L$10*Learning!Z54</f>
        <v>0.35626092690307115</v>
      </c>
      <c r="AB10" s="60">
        <f>$L$10*Learning!AA54</f>
        <v>0.35626092690307115</v>
      </c>
    </row>
    <row r="11" spans="1:28" ht="15.75">
      <c r="B11">
        <v>1</v>
      </c>
      <c r="C11" t="s">
        <v>19</v>
      </c>
      <c r="D11" t="s">
        <v>609</v>
      </c>
      <c r="E11">
        <v>25.1</v>
      </c>
      <c r="F11" t="s">
        <v>45</v>
      </c>
      <c r="G11" s="8">
        <f>E11*Conversion!$J$8/Conversion!$L$8*B11</f>
        <v>22.340093865236344</v>
      </c>
      <c r="H11" s="64" t="s">
        <v>112</v>
      </c>
      <c r="I11" s="15"/>
      <c r="J11" t="s">
        <v>19</v>
      </c>
      <c r="K11" t="s">
        <v>45</v>
      </c>
      <c r="L11" s="60">
        <f>G11/E14*8760/L15</f>
        <v>24.822326516929273</v>
      </c>
      <c r="M11" s="60">
        <f>$L$11*Learning!L55</f>
        <v>24.822326516929273</v>
      </c>
      <c r="N11" s="60">
        <f>$L$11*Learning!M55</f>
        <v>24.822326516929273</v>
      </c>
      <c r="O11" s="60">
        <f>$L$11*Learning!N55</f>
        <v>24.822326516929273</v>
      </c>
      <c r="P11" s="60">
        <f>$L$11*Learning!O55</f>
        <v>24.822326516929273</v>
      </c>
      <c r="Q11" s="60">
        <f>$L$11*Learning!P55</f>
        <v>24.822326516929273</v>
      </c>
      <c r="R11" s="60">
        <f>$L$11*Learning!Q55</f>
        <v>24.822326516929273</v>
      </c>
      <c r="S11" s="60">
        <f>$L$11*Learning!R55</f>
        <v>24.822326516929273</v>
      </c>
      <c r="T11" s="60">
        <f>$L$11*Learning!S55</f>
        <v>24.822326516929273</v>
      </c>
      <c r="U11" s="60">
        <f>$L$11*Learning!T55</f>
        <v>24.822326516929273</v>
      </c>
      <c r="V11" s="60">
        <f>$L$11*Learning!U55</f>
        <v>24.822326516929273</v>
      </c>
      <c r="W11" s="60">
        <f>$L$11*Learning!V55</f>
        <v>24.822326516929273</v>
      </c>
      <c r="X11" s="60">
        <f>$L$11*Learning!W55</f>
        <v>24.822326516929273</v>
      </c>
      <c r="Y11" s="60">
        <f>$L$11*Learning!X55</f>
        <v>24.822326516929273</v>
      </c>
      <c r="Z11" s="60">
        <f>$L$11*Learning!Y55</f>
        <v>24.822326516929273</v>
      </c>
      <c r="AA11" s="60">
        <f>$L$11*Learning!Z55</f>
        <v>24.822326516929273</v>
      </c>
      <c r="AB11" s="60">
        <f>$L$11*Learning!AA55</f>
        <v>24.822326516929273</v>
      </c>
    </row>
    <row r="12" spans="1:28" ht="15.75">
      <c r="E12" s="8"/>
      <c r="G12" s="8"/>
      <c r="I12" s="15"/>
      <c r="J12" t="s">
        <v>20</v>
      </c>
      <c r="K12" t="s">
        <v>45</v>
      </c>
      <c r="L12" s="60">
        <f>L7*L35</f>
        <v>62.537919959995605</v>
      </c>
      <c r="M12" s="60">
        <f t="shared" ref="M12:AB12" si="1">M7*M35</f>
        <v>62.537919959995605</v>
      </c>
      <c r="N12" s="60">
        <f t="shared" si="1"/>
        <v>62.537919959995605</v>
      </c>
      <c r="O12" s="60">
        <f t="shared" si="1"/>
        <v>60.779142559995606</v>
      </c>
      <c r="P12" s="60">
        <f t="shared" si="1"/>
        <v>59.020365159995606</v>
      </c>
      <c r="Q12" s="60">
        <f t="shared" si="1"/>
        <v>50.799103359995598</v>
      </c>
      <c r="R12" s="60">
        <f t="shared" si="1"/>
        <v>42.577841559995598</v>
      </c>
      <c r="S12" s="60">
        <f t="shared" si="1"/>
        <v>42.046118159995608</v>
      </c>
      <c r="T12" s="60">
        <f t="shared" si="1"/>
        <v>41.514394759995596</v>
      </c>
      <c r="U12" s="60">
        <f t="shared" si="1"/>
        <v>40.982671359995599</v>
      </c>
      <c r="V12" s="60">
        <f t="shared" si="1"/>
        <v>40.450947959995609</v>
      </c>
      <c r="W12" s="60">
        <f t="shared" si="1"/>
        <v>40.450947959995609</v>
      </c>
      <c r="X12" s="60">
        <f t="shared" si="1"/>
        <v>40.450947959995609</v>
      </c>
      <c r="Y12" s="60">
        <f t="shared" si="1"/>
        <v>40.450947959995609</v>
      </c>
      <c r="Z12" s="60">
        <f t="shared" si="1"/>
        <v>40.450947959995609</v>
      </c>
      <c r="AA12" s="60">
        <f t="shared" si="1"/>
        <v>40.450947959995609</v>
      </c>
      <c r="AB12" s="60">
        <f t="shared" si="1"/>
        <v>40.450947959995609</v>
      </c>
    </row>
    <row r="13" spans="1:28" ht="15.75">
      <c r="B13">
        <v>1</v>
      </c>
      <c r="C13" t="s">
        <v>15</v>
      </c>
      <c r="D13" t="s">
        <v>21</v>
      </c>
      <c r="E13">
        <v>50</v>
      </c>
      <c r="F13" t="s">
        <v>21</v>
      </c>
      <c r="G13">
        <f>E13*B13</f>
        <v>50</v>
      </c>
      <c r="I13" s="15"/>
      <c r="J13" t="s">
        <v>15</v>
      </c>
      <c r="K13" t="s">
        <v>21</v>
      </c>
      <c r="L13" s="60">
        <f>G13</f>
        <v>50</v>
      </c>
      <c r="M13" s="60">
        <f>L13</f>
        <v>50</v>
      </c>
      <c r="N13" s="60">
        <f t="shared" ref="N13:AB13" si="2">M13</f>
        <v>50</v>
      </c>
      <c r="O13" s="60">
        <f t="shared" si="2"/>
        <v>50</v>
      </c>
      <c r="P13" s="60">
        <f t="shared" si="2"/>
        <v>50</v>
      </c>
      <c r="Q13" s="60">
        <f t="shared" si="2"/>
        <v>50</v>
      </c>
      <c r="R13" s="60">
        <f t="shared" si="2"/>
        <v>50</v>
      </c>
      <c r="S13" s="60">
        <f t="shared" si="2"/>
        <v>50</v>
      </c>
      <c r="T13" s="60">
        <f t="shared" si="2"/>
        <v>50</v>
      </c>
      <c r="U13" s="60">
        <f t="shared" si="2"/>
        <v>50</v>
      </c>
      <c r="V13" s="60">
        <f t="shared" si="2"/>
        <v>50</v>
      </c>
      <c r="W13" s="60">
        <f t="shared" si="2"/>
        <v>50</v>
      </c>
      <c r="X13" s="60">
        <f t="shared" si="2"/>
        <v>50</v>
      </c>
      <c r="Y13" s="60">
        <f t="shared" si="2"/>
        <v>50</v>
      </c>
      <c r="Z13" s="60">
        <f t="shared" si="2"/>
        <v>50</v>
      </c>
      <c r="AA13" s="60">
        <f t="shared" si="2"/>
        <v>50</v>
      </c>
      <c r="AB13" s="60">
        <f t="shared" si="2"/>
        <v>50</v>
      </c>
    </row>
    <row r="14" spans="1:28" ht="15.75">
      <c r="C14" t="s">
        <v>16</v>
      </c>
      <c r="D14" t="s">
        <v>22</v>
      </c>
      <c r="E14" s="12">
        <f>L3*8760</f>
        <v>7884</v>
      </c>
      <c r="F14" t="s">
        <v>22</v>
      </c>
      <c r="G14" s="12">
        <f>E14</f>
        <v>7884</v>
      </c>
      <c r="I14" s="15"/>
      <c r="J14" t="s">
        <v>16</v>
      </c>
      <c r="K14" t="s">
        <v>22</v>
      </c>
      <c r="L14" s="60">
        <f>L3*8760</f>
        <v>7884</v>
      </c>
      <c r="M14" s="60">
        <f t="shared" ref="M14:AB14" si="3">M3*8760</f>
        <v>7971.6</v>
      </c>
      <c r="N14" s="60">
        <f t="shared" si="3"/>
        <v>8059.2000000000007</v>
      </c>
      <c r="O14" s="60">
        <f t="shared" si="3"/>
        <v>8146.8</v>
      </c>
      <c r="P14" s="60">
        <f t="shared" si="3"/>
        <v>8234.4</v>
      </c>
      <c r="Q14" s="60">
        <f t="shared" si="3"/>
        <v>8322</v>
      </c>
      <c r="R14" s="60">
        <f t="shared" si="3"/>
        <v>8322</v>
      </c>
      <c r="S14" s="60">
        <f t="shared" si="3"/>
        <v>8322</v>
      </c>
      <c r="T14" s="60">
        <f t="shared" si="3"/>
        <v>8322</v>
      </c>
      <c r="U14" s="60">
        <f t="shared" si="3"/>
        <v>8322</v>
      </c>
      <c r="V14" s="60">
        <f t="shared" si="3"/>
        <v>8322</v>
      </c>
      <c r="W14" s="60">
        <f t="shared" si="3"/>
        <v>8322</v>
      </c>
      <c r="X14" s="60">
        <f t="shared" si="3"/>
        <v>8322</v>
      </c>
      <c r="Y14" s="60">
        <f t="shared" si="3"/>
        <v>8322</v>
      </c>
      <c r="Z14" s="60">
        <f t="shared" si="3"/>
        <v>8322</v>
      </c>
      <c r="AA14" s="60">
        <f t="shared" si="3"/>
        <v>8322</v>
      </c>
      <c r="AB14" s="60">
        <f t="shared" si="3"/>
        <v>8322</v>
      </c>
    </row>
    <row r="15" spans="1:28" ht="15.75">
      <c r="C15" t="s">
        <v>629</v>
      </c>
      <c r="D15" s="2"/>
      <c r="F15" s="2"/>
      <c r="G15">
        <v>1</v>
      </c>
      <c r="I15" s="15"/>
      <c r="J15" t="s">
        <v>29</v>
      </c>
      <c r="K15" s="2" t="s">
        <v>7</v>
      </c>
      <c r="L15" s="60">
        <f t="shared" ref="L15" si="4">G15</f>
        <v>1</v>
      </c>
      <c r="M15" s="60">
        <f>L15</f>
        <v>1</v>
      </c>
      <c r="N15" s="60">
        <f t="shared" ref="N15:AB15" si="5">M15</f>
        <v>1</v>
      </c>
      <c r="O15" s="60">
        <f t="shared" si="5"/>
        <v>1</v>
      </c>
      <c r="P15" s="60">
        <f t="shared" si="5"/>
        <v>1</v>
      </c>
      <c r="Q15" s="60">
        <f t="shared" si="5"/>
        <v>1</v>
      </c>
      <c r="R15" s="60">
        <f t="shared" si="5"/>
        <v>1</v>
      </c>
      <c r="S15" s="60">
        <f t="shared" si="5"/>
        <v>1</v>
      </c>
      <c r="T15" s="60">
        <f t="shared" si="5"/>
        <v>1</v>
      </c>
      <c r="U15" s="60">
        <f t="shared" si="5"/>
        <v>1</v>
      </c>
      <c r="V15" s="60">
        <f t="shared" si="5"/>
        <v>1</v>
      </c>
      <c r="W15" s="60">
        <f t="shared" si="5"/>
        <v>1</v>
      </c>
      <c r="X15" s="60">
        <f t="shared" si="5"/>
        <v>1</v>
      </c>
      <c r="Y15" s="60">
        <f t="shared" si="5"/>
        <v>1</v>
      </c>
      <c r="Z15" s="60">
        <f t="shared" si="5"/>
        <v>1</v>
      </c>
      <c r="AA15" s="60">
        <f t="shared" si="5"/>
        <v>1</v>
      </c>
      <c r="AB15" s="60">
        <f t="shared" si="5"/>
        <v>1</v>
      </c>
    </row>
    <row r="16" spans="1:28" ht="15.75">
      <c r="D16" s="2"/>
      <c r="F16" s="2"/>
      <c r="I16" s="15"/>
      <c r="J16" t="s">
        <v>17</v>
      </c>
      <c r="K16" s="2" t="s">
        <v>7</v>
      </c>
      <c r="L16" s="60">
        <f>(L$2*(1+L$2)^L13)/((1+L$2)^L13-1)</f>
        <v>7.2459849539607685E-2</v>
      </c>
      <c r="M16" s="60">
        <f t="shared" ref="M16:AB16" si="6">(M$2*(1+M$2)^M13)/((1+M$2)^M13-1)</f>
        <v>7.2459849539607685E-2</v>
      </c>
      <c r="N16" s="60">
        <f t="shared" si="6"/>
        <v>7.2459849539607685E-2</v>
      </c>
      <c r="O16" s="60">
        <f t="shared" si="6"/>
        <v>7.2459849539607685E-2</v>
      </c>
      <c r="P16" s="60">
        <f t="shared" si="6"/>
        <v>7.2459849539607685E-2</v>
      </c>
      <c r="Q16" s="60">
        <f t="shared" si="6"/>
        <v>7.2459849539607685E-2</v>
      </c>
      <c r="R16" s="60">
        <f t="shared" si="6"/>
        <v>7.2459849539607685E-2</v>
      </c>
      <c r="S16" s="60">
        <f t="shared" si="6"/>
        <v>7.2459849539607685E-2</v>
      </c>
      <c r="T16" s="60">
        <f t="shared" si="6"/>
        <v>7.2459849539607685E-2</v>
      </c>
      <c r="U16" s="60">
        <f t="shared" si="6"/>
        <v>7.2459849539607685E-2</v>
      </c>
      <c r="V16" s="60">
        <f t="shared" si="6"/>
        <v>7.2459849539607685E-2</v>
      </c>
      <c r="W16" s="60">
        <f t="shared" si="6"/>
        <v>7.2459849539607685E-2</v>
      </c>
      <c r="X16" s="60">
        <f t="shared" si="6"/>
        <v>7.2459849539607685E-2</v>
      </c>
      <c r="Y16" s="60">
        <f t="shared" si="6"/>
        <v>7.2459849539607685E-2</v>
      </c>
      <c r="Z16" s="60">
        <f t="shared" si="6"/>
        <v>7.2459849539607685E-2</v>
      </c>
      <c r="AA16" s="60">
        <f t="shared" si="6"/>
        <v>7.2459849539607685E-2</v>
      </c>
      <c r="AB16" s="60">
        <f t="shared" si="6"/>
        <v>7.2459849539607685E-2</v>
      </c>
    </row>
    <row r="17" spans="3:28" ht="16.5" thickBot="1">
      <c r="C17" s="13" t="s">
        <v>96</v>
      </c>
      <c r="D17" s="73" t="s">
        <v>633</v>
      </c>
      <c r="E17" s="4"/>
      <c r="F17" s="4"/>
      <c r="G17" s="4"/>
      <c r="H17" s="4"/>
      <c r="I17" s="14"/>
      <c r="J17" s="63" t="s">
        <v>100</v>
      </c>
      <c r="K17" s="63" t="s">
        <v>45</v>
      </c>
      <c r="L17" s="66">
        <f>SUM(L10:L12)</f>
        <v>87.716507403827947</v>
      </c>
      <c r="M17" s="66">
        <f t="shared" ref="M17:AB17" si="7">SUM(M10:M12)</f>
        <v>87.716507403827947</v>
      </c>
      <c r="N17" s="66">
        <f t="shared" si="7"/>
        <v>87.716507403827947</v>
      </c>
      <c r="O17" s="66">
        <f t="shared" si="7"/>
        <v>85.957730003827947</v>
      </c>
      <c r="P17" s="66">
        <f t="shared" si="7"/>
        <v>84.198952603827948</v>
      </c>
      <c r="Q17" s="66">
        <f t="shared" si="7"/>
        <v>75.97769080382794</v>
      </c>
      <c r="R17" s="66">
        <f t="shared" si="7"/>
        <v>67.756429003827947</v>
      </c>
      <c r="S17" s="66">
        <f t="shared" si="7"/>
        <v>67.224705603827957</v>
      </c>
      <c r="T17" s="66">
        <f t="shared" si="7"/>
        <v>66.692982203827938</v>
      </c>
      <c r="U17" s="66">
        <f t="shared" si="7"/>
        <v>66.161258803827948</v>
      </c>
      <c r="V17" s="66">
        <f t="shared" si="7"/>
        <v>65.629535403827958</v>
      </c>
      <c r="W17" s="66">
        <f t="shared" si="7"/>
        <v>65.629535403827958</v>
      </c>
      <c r="X17" s="66">
        <f t="shared" si="7"/>
        <v>65.629535403827958</v>
      </c>
      <c r="Y17" s="66">
        <f t="shared" si="7"/>
        <v>65.629535403827958</v>
      </c>
      <c r="Z17" s="66">
        <f t="shared" si="7"/>
        <v>65.629535403827958</v>
      </c>
      <c r="AA17" s="66">
        <f t="shared" si="7"/>
        <v>65.629535403827958</v>
      </c>
      <c r="AB17" s="66">
        <f t="shared" si="7"/>
        <v>65.629535403827958</v>
      </c>
    </row>
    <row r="18" spans="3:28" ht="16.5" thickTop="1">
      <c r="C18" t="s">
        <v>23</v>
      </c>
      <c r="D18" t="s">
        <v>108</v>
      </c>
      <c r="E18">
        <v>0</v>
      </c>
      <c r="F18" t="s">
        <v>26</v>
      </c>
      <c r="G18">
        <f>E18/1000</f>
        <v>0</v>
      </c>
      <c r="I18" s="15"/>
      <c r="J18" t="s">
        <v>23</v>
      </c>
      <c r="K18" t="s">
        <v>45</v>
      </c>
      <c r="L18" s="62">
        <f>$G$18*L$4</f>
        <v>0</v>
      </c>
      <c r="M18" s="62">
        <f t="shared" ref="M18:AB18" si="8">$G$18*M$4</f>
        <v>0</v>
      </c>
      <c r="N18" s="62">
        <f t="shared" si="8"/>
        <v>0</v>
      </c>
      <c r="O18" s="62">
        <f t="shared" si="8"/>
        <v>0</v>
      </c>
      <c r="P18" s="62">
        <f t="shared" si="8"/>
        <v>0</v>
      </c>
      <c r="Q18" s="62">
        <f t="shared" si="8"/>
        <v>0</v>
      </c>
      <c r="R18" s="62">
        <f t="shared" si="8"/>
        <v>0</v>
      </c>
      <c r="S18" s="62">
        <f t="shared" si="8"/>
        <v>0</v>
      </c>
      <c r="T18" s="62">
        <f t="shared" si="8"/>
        <v>0</v>
      </c>
      <c r="U18" s="62">
        <f t="shared" si="8"/>
        <v>0</v>
      </c>
      <c r="V18" s="62">
        <f t="shared" si="8"/>
        <v>0</v>
      </c>
      <c r="W18" s="62">
        <f t="shared" si="8"/>
        <v>0</v>
      </c>
      <c r="X18" s="62">
        <f t="shared" si="8"/>
        <v>0</v>
      </c>
      <c r="Y18" s="62">
        <f t="shared" si="8"/>
        <v>0</v>
      </c>
      <c r="Z18" s="62">
        <f t="shared" si="8"/>
        <v>0</v>
      </c>
      <c r="AA18" s="62">
        <f t="shared" si="8"/>
        <v>0</v>
      </c>
      <c r="AB18" s="62">
        <f t="shared" si="8"/>
        <v>0</v>
      </c>
    </row>
    <row r="19" spans="3:28" ht="15.75">
      <c r="C19" t="s">
        <v>24</v>
      </c>
      <c r="D19" t="s">
        <v>109</v>
      </c>
      <c r="E19">
        <v>0</v>
      </c>
      <c r="F19" t="s">
        <v>27</v>
      </c>
      <c r="G19">
        <f>E19/1000</f>
        <v>0</v>
      </c>
      <c r="I19" s="15"/>
      <c r="J19" t="s">
        <v>24</v>
      </c>
      <c r="K19" t="s">
        <v>45</v>
      </c>
      <c r="L19" s="62">
        <f>$G$19*L$6</f>
        <v>0</v>
      </c>
      <c r="M19" s="62">
        <f t="shared" ref="M19:AB19" si="9">$G$19*M$6</f>
        <v>0</v>
      </c>
      <c r="N19" s="62">
        <f t="shared" si="9"/>
        <v>0</v>
      </c>
      <c r="O19" s="62">
        <f t="shared" si="9"/>
        <v>0</v>
      </c>
      <c r="P19" s="62">
        <f t="shared" si="9"/>
        <v>0</v>
      </c>
      <c r="Q19" s="62">
        <f t="shared" si="9"/>
        <v>0</v>
      </c>
      <c r="R19" s="62">
        <f t="shared" si="9"/>
        <v>0</v>
      </c>
      <c r="S19" s="62">
        <f t="shared" si="9"/>
        <v>0</v>
      </c>
      <c r="T19" s="62">
        <f t="shared" si="9"/>
        <v>0</v>
      </c>
      <c r="U19" s="62">
        <f t="shared" si="9"/>
        <v>0</v>
      </c>
      <c r="V19" s="62">
        <f t="shared" si="9"/>
        <v>0</v>
      </c>
      <c r="W19" s="62">
        <f t="shared" si="9"/>
        <v>0</v>
      </c>
      <c r="X19" s="62">
        <f t="shared" si="9"/>
        <v>0</v>
      </c>
      <c r="Y19" s="62">
        <f t="shared" si="9"/>
        <v>0</v>
      </c>
      <c r="Z19" s="62">
        <f t="shared" si="9"/>
        <v>0</v>
      </c>
      <c r="AA19" s="62">
        <f t="shared" si="9"/>
        <v>0</v>
      </c>
      <c r="AB19" s="62">
        <f t="shared" si="9"/>
        <v>0</v>
      </c>
    </row>
    <row r="20" spans="3:28" ht="15.75">
      <c r="C20" t="s">
        <v>25</v>
      </c>
      <c r="D20" t="s">
        <v>109</v>
      </c>
      <c r="E20">
        <v>0</v>
      </c>
      <c r="F20" t="s">
        <v>27</v>
      </c>
      <c r="G20">
        <v>0</v>
      </c>
      <c r="I20" s="15"/>
      <c r="J20" t="s">
        <v>25</v>
      </c>
      <c r="K20" t="s">
        <v>45</v>
      </c>
      <c r="L20" s="62">
        <f>$G$20*L6</f>
        <v>0</v>
      </c>
      <c r="M20" s="62">
        <f t="shared" ref="M20:AB20" si="10">$G$20*M6</f>
        <v>0</v>
      </c>
      <c r="N20" s="62">
        <f t="shared" si="10"/>
        <v>0</v>
      </c>
      <c r="O20" s="62">
        <f t="shared" si="10"/>
        <v>0</v>
      </c>
      <c r="P20" s="62">
        <f t="shared" si="10"/>
        <v>0</v>
      </c>
      <c r="Q20" s="62">
        <f t="shared" si="10"/>
        <v>0</v>
      </c>
      <c r="R20" s="62">
        <f t="shared" si="10"/>
        <v>0</v>
      </c>
      <c r="S20" s="62">
        <f t="shared" si="10"/>
        <v>0</v>
      </c>
      <c r="T20" s="62">
        <f t="shared" si="10"/>
        <v>0</v>
      </c>
      <c r="U20" s="62">
        <f t="shared" si="10"/>
        <v>0</v>
      </c>
      <c r="V20" s="62">
        <f t="shared" si="10"/>
        <v>0</v>
      </c>
      <c r="W20" s="62">
        <f t="shared" si="10"/>
        <v>0</v>
      </c>
      <c r="X20" s="62">
        <f t="shared" si="10"/>
        <v>0</v>
      </c>
      <c r="Y20" s="62">
        <f t="shared" si="10"/>
        <v>0</v>
      </c>
      <c r="Z20" s="62">
        <f t="shared" si="10"/>
        <v>0</v>
      </c>
      <c r="AA20" s="62">
        <f t="shared" si="10"/>
        <v>0</v>
      </c>
      <c r="AB20" s="62">
        <f t="shared" si="10"/>
        <v>0</v>
      </c>
    </row>
    <row r="21" spans="3:28" ht="16.5" thickBot="1">
      <c r="C21" s="13" t="s">
        <v>97</v>
      </c>
      <c r="D21" s="4"/>
      <c r="E21" s="4"/>
      <c r="F21" s="4"/>
      <c r="G21" s="4"/>
      <c r="H21" s="4"/>
      <c r="I21" s="14"/>
      <c r="J21" s="63" t="s">
        <v>101</v>
      </c>
      <c r="K21" s="63" t="s">
        <v>45</v>
      </c>
      <c r="L21" s="66">
        <f>SUM(L17:L20)</f>
        <v>87.716507403827947</v>
      </c>
      <c r="M21" s="66">
        <f t="shared" ref="M21:AB21" si="11">SUM(M17:M20)</f>
        <v>87.716507403827947</v>
      </c>
      <c r="N21" s="66">
        <f t="shared" si="11"/>
        <v>87.716507403827947</v>
      </c>
      <c r="O21" s="66">
        <f t="shared" si="11"/>
        <v>85.957730003827947</v>
      </c>
      <c r="P21" s="66">
        <f t="shared" si="11"/>
        <v>84.198952603827948</v>
      </c>
      <c r="Q21" s="66">
        <f t="shared" si="11"/>
        <v>75.97769080382794</v>
      </c>
      <c r="R21" s="66">
        <f t="shared" si="11"/>
        <v>67.756429003827947</v>
      </c>
      <c r="S21" s="66">
        <f t="shared" si="11"/>
        <v>67.224705603827957</v>
      </c>
      <c r="T21" s="66">
        <f t="shared" si="11"/>
        <v>66.692982203827938</v>
      </c>
      <c r="U21" s="66">
        <f t="shared" si="11"/>
        <v>66.161258803827948</v>
      </c>
      <c r="V21" s="66">
        <f t="shared" si="11"/>
        <v>65.629535403827958</v>
      </c>
      <c r="W21" s="66">
        <f t="shared" si="11"/>
        <v>65.629535403827958</v>
      </c>
      <c r="X21" s="66">
        <f t="shared" si="11"/>
        <v>65.629535403827958</v>
      </c>
      <c r="Y21" s="66">
        <f t="shared" si="11"/>
        <v>65.629535403827958</v>
      </c>
      <c r="Z21" s="66">
        <f t="shared" si="11"/>
        <v>65.629535403827958</v>
      </c>
      <c r="AA21" s="66">
        <f t="shared" si="11"/>
        <v>65.629535403827958</v>
      </c>
      <c r="AB21" s="66">
        <f t="shared" si="11"/>
        <v>65.629535403827958</v>
      </c>
    </row>
    <row r="22" spans="3:28" ht="16.5" thickTop="1">
      <c r="E22" s="5"/>
      <c r="H22" s="5"/>
      <c r="I22" s="15"/>
      <c r="J22" t="s">
        <v>47</v>
      </c>
      <c r="K22" t="s">
        <v>45</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row>
    <row r="23" spans="3:28" ht="15.75">
      <c r="I23" s="15"/>
      <c r="J23" t="s">
        <v>71</v>
      </c>
      <c r="K23" t="s">
        <v>45</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row>
    <row r="24" spans="3:28" ht="15.75">
      <c r="I24" s="15"/>
      <c r="J24" t="s">
        <v>73</v>
      </c>
      <c r="K24" t="s">
        <v>45</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row>
    <row r="25" spans="3:28" ht="15.75">
      <c r="I25" s="15"/>
      <c r="J25" t="s">
        <v>74</v>
      </c>
      <c r="K25" t="s">
        <v>45</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row>
    <row r="26" spans="3:28" ht="16.5" thickBot="1">
      <c r="C26" s="13" t="s">
        <v>98</v>
      </c>
      <c r="D26" s="4"/>
      <c r="E26" s="4"/>
      <c r="F26" s="4"/>
      <c r="G26" s="4"/>
      <c r="H26" s="4"/>
      <c r="I26" s="14"/>
      <c r="J26" s="63" t="s">
        <v>99</v>
      </c>
      <c r="K26" s="63" t="s">
        <v>45</v>
      </c>
      <c r="L26" s="66">
        <f>L21</f>
        <v>87.716507403827947</v>
      </c>
      <c r="M26" s="66">
        <f t="shared" ref="M26:AB26" si="12">M21</f>
        <v>87.716507403827947</v>
      </c>
      <c r="N26" s="66">
        <f t="shared" si="12"/>
        <v>87.716507403827947</v>
      </c>
      <c r="O26" s="66">
        <f t="shared" si="12"/>
        <v>85.957730003827947</v>
      </c>
      <c r="P26" s="66">
        <f t="shared" si="12"/>
        <v>84.198952603827948</v>
      </c>
      <c r="Q26" s="66">
        <f t="shared" si="12"/>
        <v>75.97769080382794</v>
      </c>
      <c r="R26" s="66">
        <f t="shared" si="12"/>
        <v>67.756429003827947</v>
      </c>
      <c r="S26" s="66">
        <f t="shared" si="12"/>
        <v>67.224705603827957</v>
      </c>
      <c r="T26" s="66">
        <f t="shared" si="12"/>
        <v>66.692982203827938</v>
      </c>
      <c r="U26" s="66">
        <f t="shared" si="12"/>
        <v>66.161258803827948</v>
      </c>
      <c r="V26" s="66">
        <f t="shared" si="12"/>
        <v>65.629535403827958</v>
      </c>
      <c r="W26" s="66">
        <f t="shared" si="12"/>
        <v>65.629535403827958</v>
      </c>
      <c r="X26" s="66">
        <f t="shared" si="12"/>
        <v>65.629535403827958</v>
      </c>
      <c r="Y26" s="66">
        <f t="shared" si="12"/>
        <v>65.629535403827958</v>
      </c>
      <c r="Z26" s="66">
        <f t="shared" si="12"/>
        <v>65.629535403827958</v>
      </c>
      <c r="AA26" s="66">
        <f t="shared" si="12"/>
        <v>65.629535403827958</v>
      </c>
      <c r="AB26" s="66">
        <f t="shared" si="12"/>
        <v>65.629535403827958</v>
      </c>
    </row>
    <row r="27" spans="3:28" ht="16.5" thickTop="1">
      <c r="I27" s="15"/>
      <c r="K27" t="s">
        <v>14</v>
      </c>
      <c r="L27" s="62">
        <f>L10</f>
        <v>0.35626092690307115</v>
      </c>
      <c r="M27" s="62">
        <f t="shared" ref="M27:AB27" si="13">M10</f>
        <v>0.35626092690307115</v>
      </c>
      <c r="N27" s="62">
        <f t="shared" si="13"/>
        <v>0.35626092690307115</v>
      </c>
      <c r="O27" s="62">
        <f t="shared" si="13"/>
        <v>0.35626092690307115</v>
      </c>
      <c r="P27" s="62">
        <f t="shared" si="13"/>
        <v>0.35626092690307115</v>
      </c>
      <c r="Q27" s="62">
        <f t="shared" si="13"/>
        <v>0.35626092690307115</v>
      </c>
      <c r="R27" s="62">
        <f t="shared" si="13"/>
        <v>0.35626092690307115</v>
      </c>
      <c r="S27" s="62">
        <f t="shared" si="13"/>
        <v>0.35626092690307115</v>
      </c>
      <c r="T27" s="62">
        <f t="shared" si="13"/>
        <v>0.35626092690307115</v>
      </c>
      <c r="U27" s="62">
        <f t="shared" si="13"/>
        <v>0.35626092690307115</v>
      </c>
      <c r="V27" s="62">
        <f t="shared" si="13"/>
        <v>0.35626092690307115</v>
      </c>
      <c r="W27" s="62">
        <f t="shared" si="13"/>
        <v>0.35626092690307115</v>
      </c>
      <c r="X27" s="62">
        <f t="shared" si="13"/>
        <v>0.35626092690307115</v>
      </c>
      <c r="Y27" s="62">
        <f t="shared" si="13"/>
        <v>0.35626092690307115</v>
      </c>
      <c r="Z27" s="62">
        <f t="shared" si="13"/>
        <v>0.35626092690307115</v>
      </c>
      <c r="AA27" s="62">
        <f t="shared" si="13"/>
        <v>0.35626092690307115</v>
      </c>
      <c r="AB27" s="62">
        <f t="shared" si="13"/>
        <v>0.35626092690307115</v>
      </c>
    </row>
    <row r="28" spans="3:28" ht="15.75">
      <c r="I28" s="15"/>
      <c r="K28" t="s">
        <v>19</v>
      </c>
      <c r="L28" s="62">
        <f>L11</f>
        <v>24.822326516929273</v>
      </c>
      <c r="M28" s="62">
        <f t="shared" ref="M28:AB28" si="14">M11</f>
        <v>24.822326516929273</v>
      </c>
      <c r="N28" s="62">
        <f t="shared" si="14"/>
        <v>24.822326516929273</v>
      </c>
      <c r="O28" s="62">
        <f t="shared" si="14"/>
        <v>24.822326516929273</v>
      </c>
      <c r="P28" s="62">
        <f t="shared" si="14"/>
        <v>24.822326516929273</v>
      </c>
      <c r="Q28" s="62">
        <f t="shared" si="14"/>
        <v>24.822326516929273</v>
      </c>
      <c r="R28" s="62">
        <f t="shared" si="14"/>
        <v>24.822326516929273</v>
      </c>
      <c r="S28" s="62">
        <f t="shared" si="14"/>
        <v>24.822326516929273</v>
      </c>
      <c r="T28" s="62">
        <f t="shared" si="14"/>
        <v>24.822326516929273</v>
      </c>
      <c r="U28" s="62">
        <f t="shared" si="14"/>
        <v>24.822326516929273</v>
      </c>
      <c r="V28" s="62">
        <f t="shared" si="14"/>
        <v>24.822326516929273</v>
      </c>
      <c r="W28" s="62">
        <f t="shared" si="14"/>
        <v>24.822326516929273</v>
      </c>
      <c r="X28" s="62">
        <f t="shared" si="14"/>
        <v>24.822326516929273</v>
      </c>
      <c r="Y28" s="62">
        <f t="shared" si="14"/>
        <v>24.822326516929273</v>
      </c>
      <c r="Z28" s="62">
        <f t="shared" si="14"/>
        <v>24.822326516929273</v>
      </c>
      <c r="AA28" s="62">
        <f t="shared" si="14"/>
        <v>24.822326516929273</v>
      </c>
      <c r="AB28" s="62">
        <f t="shared" si="14"/>
        <v>24.822326516929273</v>
      </c>
    </row>
    <row r="29" spans="3:28" ht="15.75">
      <c r="K29" t="s">
        <v>20</v>
      </c>
      <c r="L29" s="62">
        <f>L12</f>
        <v>62.537919959995605</v>
      </c>
      <c r="M29" s="62">
        <f t="shared" ref="M29:AB29" si="15">M12</f>
        <v>62.537919959995605</v>
      </c>
      <c r="N29" s="62">
        <f t="shared" si="15"/>
        <v>62.537919959995605</v>
      </c>
      <c r="O29" s="62">
        <f t="shared" si="15"/>
        <v>60.779142559995606</v>
      </c>
      <c r="P29" s="62">
        <f t="shared" si="15"/>
        <v>59.020365159995606</v>
      </c>
      <c r="Q29" s="62">
        <f t="shared" si="15"/>
        <v>50.799103359995598</v>
      </c>
      <c r="R29" s="62">
        <f t="shared" si="15"/>
        <v>42.577841559995598</v>
      </c>
      <c r="S29" s="62">
        <f t="shared" si="15"/>
        <v>42.046118159995608</v>
      </c>
      <c r="T29" s="62">
        <f t="shared" si="15"/>
        <v>41.514394759995596</v>
      </c>
      <c r="U29" s="62">
        <f t="shared" si="15"/>
        <v>40.982671359995599</v>
      </c>
      <c r="V29" s="62">
        <f t="shared" si="15"/>
        <v>40.450947959995609</v>
      </c>
      <c r="W29" s="62">
        <f t="shared" si="15"/>
        <v>40.450947959995609</v>
      </c>
      <c r="X29" s="62">
        <f t="shared" si="15"/>
        <v>40.450947959995609</v>
      </c>
      <c r="Y29" s="62">
        <f t="shared" si="15"/>
        <v>40.450947959995609</v>
      </c>
      <c r="Z29" s="62">
        <f t="shared" si="15"/>
        <v>40.450947959995609</v>
      </c>
      <c r="AA29" s="62">
        <f t="shared" si="15"/>
        <v>40.450947959995609</v>
      </c>
      <c r="AB29" s="62">
        <f t="shared" si="15"/>
        <v>40.450947959995609</v>
      </c>
    </row>
    <row r="30" spans="3:28" ht="15.75">
      <c r="K30" t="s">
        <v>110</v>
      </c>
      <c r="L30" s="62">
        <f>L18</f>
        <v>0</v>
      </c>
      <c r="M30" s="62">
        <f t="shared" ref="M30:AB30" si="16">M18</f>
        <v>0</v>
      </c>
      <c r="N30" s="62">
        <f t="shared" si="16"/>
        <v>0</v>
      </c>
      <c r="O30" s="62">
        <f t="shared" si="16"/>
        <v>0</v>
      </c>
      <c r="P30" s="62">
        <f t="shared" si="16"/>
        <v>0</v>
      </c>
      <c r="Q30" s="62">
        <f t="shared" si="16"/>
        <v>0</v>
      </c>
      <c r="R30" s="62">
        <f t="shared" si="16"/>
        <v>0</v>
      </c>
      <c r="S30" s="62">
        <f t="shared" si="16"/>
        <v>0</v>
      </c>
      <c r="T30" s="62">
        <f t="shared" si="16"/>
        <v>0</v>
      </c>
      <c r="U30" s="62">
        <f t="shared" si="16"/>
        <v>0</v>
      </c>
      <c r="V30" s="62">
        <f t="shared" si="16"/>
        <v>0</v>
      </c>
      <c r="W30" s="62">
        <f t="shared" si="16"/>
        <v>0</v>
      </c>
      <c r="X30" s="62">
        <f t="shared" si="16"/>
        <v>0</v>
      </c>
      <c r="Y30" s="62">
        <f t="shared" si="16"/>
        <v>0</v>
      </c>
      <c r="Z30" s="62">
        <f t="shared" si="16"/>
        <v>0</v>
      </c>
      <c r="AA30" s="62">
        <f t="shared" si="16"/>
        <v>0</v>
      </c>
      <c r="AB30" s="62">
        <f t="shared" si="16"/>
        <v>0</v>
      </c>
    </row>
    <row r="31" spans="3:28" ht="15.75">
      <c r="K31" t="s">
        <v>111</v>
      </c>
      <c r="L31" s="62">
        <f>L19</f>
        <v>0</v>
      </c>
      <c r="M31" s="62">
        <f t="shared" ref="M31:AB31" si="17">M19</f>
        <v>0</v>
      </c>
      <c r="N31" s="62">
        <f t="shared" si="17"/>
        <v>0</v>
      </c>
      <c r="O31" s="62">
        <f t="shared" si="17"/>
        <v>0</v>
      </c>
      <c r="P31" s="62">
        <f t="shared" si="17"/>
        <v>0</v>
      </c>
      <c r="Q31" s="62">
        <f t="shared" si="17"/>
        <v>0</v>
      </c>
      <c r="R31" s="62">
        <f t="shared" si="17"/>
        <v>0</v>
      </c>
      <c r="S31" s="62">
        <f t="shared" si="17"/>
        <v>0</v>
      </c>
      <c r="T31" s="62">
        <f t="shared" si="17"/>
        <v>0</v>
      </c>
      <c r="U31" s="62">
        <f t="shared" si="17"/>
        <v>0</v>
      </c>
      <c r="V31" s="62">
        <f t="shared" si="17"/>
        <v>0</v>
      </c>
      <c r="W31" s="62">
        <f t="shared" si="17"/>
        <v>0</v>
      </c>
      <c r="X31" s="62">
        <f t="shared" si="17"/>
        <v>0</v>
      </c>
      <c r="Y31" s="62">
        <f t="shared" si="17"/>
        <v>0</v>
      </c>
      <c r="Z31" s="62">
        <f t="shared" si="17"/>
        <v>0</v>
      </c>
      <c r="AA31" s="62">
        <f t="shared" si="17"/>
        <v>0</v>
      </c>
      <c r="AB31" s="62">
        <f t="shared" si="17"/>
        <v>0</v>
      </c>
    </row>
    <row r="35" spans="1:28" ht="15.75">
      <c r="B35">
        <v>1</v>
      </c>
      <c r="J35" t="s">
        <v>627</v>
      </c>
      <c r="K35" t="s">
        <v>628</v>
      </c>
      <c r="L35" s="59">
        <f>2*B35</f>
        <v>2</v>
      </c>
      <c r="M35" s="59">
        <v>2</v>
      </c>
      <c r="N35" s="59">
        <v>2</v>
      </c>
      <c r="O35" s="59">
        <v>2</v>
      </c>
      <c r="P35" s="59">
        <v>2</v>
      </c>
      <c r="Q35" s="59">
        <v>2</v>
      </c>
      <c r="R35" s="59">
        <v>2</v>
      </c>
      <c r="S35" s="59">
        <v>2</v>
      </c>
      <c r="T35" s="59">
        <v>2</v>
      </c>
      <c r="U35" s="59">
        <v>2</v>
      </c>
      <c r="V35" s="59">
        <v>2</v>
      </c>
      <c r="W35" s="59">
        <v>2</v>
      </c>
      <c r="X35" s="59">
        <v>2</v>
      </c>
      <c r="Y35" s="59">
        <v>2</v>
      </c>
      <c r="Z35" s="59">
        <v>2</v>
      </c>
      <c r="AA35" s="59">
        <v>2</v>
      </c>
      <c r="AB35" s="59">
        <v>2</v>
      </c>
    </row>
    <row r="36" spans="1:28">
      <c r="J36" s="64" t="s">
        <v>632</v>
      </c>
    </row>
    <row r="37" spans="1:28">
      <c r="J37" s="64" t="s">
        <v>634</v>
      </c>
    </row>
    <row r="42" spans="1:28">
      <c r="A42" t="s">
        <v>758</v>
      </c>
    </row>
    <row r="43" spans="1:28">
      <c r="B43" t="s">
        <v>14</v>
      </c>
      <c r="H43" t="s">
        <v>755</v>
      </c>
      <c r="N43" t="s">
        <v>15</v>
      </c>
      <c r="T43" t="s">
        <v>643</v>
      </c>
    </row>
    <row r="44" spans="1:28">
      <c r="C44" t="s">
        <v>122</v>
      </c>
      <c r="I44" t="s">
        <v>122</v>
      </c>
      <c r="O44" t="s">
        <v>122</v>
      </c>
      <c r="U44" t="s">
        <v>122</v>
      </c>
    </row>
    <row r="45" spans="1:28">
      <c r="C45" s="11">
        <f>L26</f>
        <v>87.716507403827947</v>
      </c>
      <c r="D45" s="11"/>
      <c r="I45" s="11">
        <f>L26</f>
        <v>87.716507403827947</v>
      </c>
      <c r="J45" s="11"/>
      <c r="O45" s="11">
        <f>L26</f>
        <v>87.716507403827947</v>
      </c>
      <c r="P45" s="11"/>
      <c r="U45" s="11">
        <f>L26</f>
        <v>87.716507403827947</v>
      </c>
      <c r="V45" s="11"/>
    </row>
    <row r="46" spans="1:28">
      <c r="B46">
        <v>0.5</v>
      </c>
      <c r="C46">
        <f t="dataTable" ref="C46:C50" dt2D="0" dtr="0" r1="B10" ca="1"/>
        <v>87.538376940376409</v>
      </c>
      <c r="E46">
        <f>C46/C$45</f>
        <v>0.99796924810706988</v>
      </c>
      <c r="H46">
        <v>0.5</v>
      </c>
      <c r="I46">
        <f t="dataTable" ref="I46:I50" dt2D="0" dtr="0" r1="B11"/>
        <v>75.305344145363307</v>
      </c>
      <c r="K46">
        <f>I46/I$45</f>
        <v>0.85850823720868963</v>
      </c>
      <c r="N46">
        <v>0.5</v>
      </c>
      <c r="O46">
        <f t="dataTable" ref="O46:O50" dt2D="0" dtr="0" r1="B13" ca="1"/>
        <v>87.782148186593147</v>
      </c>
      <c r="Q46">
        <f>O46/O$45</f>
        <v>1.0007483287320482</v>
      </c>
      <c r="T46">
        <v>0.5</v>
      </c>
      <c r="U46">
        <f t="dataTable" ref="U46:U50" dt2D="0" dtr="0" r1="B35" ca="1"/>
        <v>56.447547423830144</v>
      </c>
      <c r="W46">
        <f>U46/U$45</f>
        <v>0.64352251468424027</v>
      </c>
    </row>
    <row r="47" spans="1:28">
      <c r="B47">
        <v>0.75</v>
      </c>
      <c r="C47">
        <v>87.627442172102178</v>
      </c>
      <c r="E47">
        <f t="shared" ref="E47:E50" si="18">C47/C$45</f>
        <v>0.99898462405353494</v>
      </c>
      <c r="H47">
        <v>0.75</v>
      </c>
      <c r="I47">
        <v>81.510925774595634</v>
      </c>
      <c r="K47">
        <f t="shared" ref="K47:K50" si="19">I47/I$45</f>
        <v>0.92925411860434493</v>
      </c>
      <c r="N47">
        <v>0.75</v>
      </c>
      <c r="O47">
        <v>87.733970039119569</v>
      </c>
      <c r="Q47">
        <f t="shared" ref="Q47:Q50" si="20">O47/O$45</f>
        <v>1.0001990803761853</v>
      </c>
      <c r="T47">
        <v>0.75</v>
      </c>
      <c r="U47">
        <v>72.082027413829053</v>
      </c>
      <c r="W47">
        <f t="shared" ref="W47:W50" si="21">U47/U$45</f>
        <v>0.82176125734212024</v>
      </c>
    </row>
    <row r="48" spans="1:28">
      <c r="B48">
        <v>1</v>
      </c>
      <c r="C48">
        <v>87.716507403827947</v>
      </c>
      <c r="E48">
        <f t="shared" si="18"/>
        <v>1</v>
      </c>
      <c r="H48">
        <v>1</v>
      </c>
      <c r="I48">
        <v>87.716507403827947</v>
      </c>
      <c r="K48">
        <f t="shared" si="19"/>
        <v>1</v>
      </c>
      <c r="N48">
        <v>1</v>
      </c>
      <c r="O48">
        <v>87.716507403827947</v>
      </c>
      <c r="Q48">
        <f t="shared" si="20"/>
        <v>1</v>
      </c>
      <c r="T48">
        <v>1</v>
      </c>
      <c r="U48">
        <v>87.716507403827947</v>
      </c>
      <c r="W48">
        <f t="shared" si="21"/>
        <v>1</v>
      </c>
    </row>
    <row r="49" spans="2:23">
      <c r="B49">
        <v>1.25</v>
      </c>
      <c r="C49">
        <v>87.805572635553716</v>
      </c>
      <c r="E49">
        <f t="shared" si="18"/>
        <v>1.0010153759464651</v>
      </c>
      <c r="H49">
        <v>1.25</v>
      </c>
      <c r="I49">
        <v>93.922089033060274</v>
      </c>
      <c r="K49">
        <f t="shared" si="19"/>
        <v>1.0707458813956552</v>
      </c>
      <c r="N49">
        <v>1.25</v>
      </c>
      <c r="O49">
        <v>87.709502439749414</v>
      </c>
      <c r="Q49">
        <f t="shared" si="20"/>
        <v>0.99992014086873882</v>
      </c>
      <c r="T49">
        <v>1.25</v>
      </c>
      <c r="U49">
        <v>103.35098739382686</v>
      </c>
      <c r="W49">
        <f t="shared" si="21"/>
        <v>1.17823874265788</v>
      </c>
    </row>
    <row r="50" spans="2:23">
      <c r="B50">
        <v>1.5</v>
      </c>
      <c r="C50">
        <v>87.894637867279485</v>
      </c>
      <c r="E50">
        <f t="shared" si="18"/>
        <v>1.0020307518929301</v>
      </c>
      <c r="H50">
        <v>1.5</v>
      </c>
      <c r="I50">
        <v>100.12767066229259</v>
      </c>
      <c r="K50">
        <f t="shared" si="19"/>
        <v>1.1414917627913104</v>
      </c>
      <c r="N50">
        <v>1.5</v>
      </c>
      <c r="O50">
        <v>87.706579402968913</v>
      </c>
      <c r="Q50">
        <f t="shared" si="20"/>
        <v>0.99988681718922834</v>
      </c>
      <c r="T50">
        <v>1.5</v>
      </c>
      <c r="U50">
        <v>118.98546738382575</v>
      </c>
      <c r="W50">
        <f t="shared" si="21"/>
        <v>1.3564774853157597</v>
      </c>
    </row>
  </sheetData>
  <pageMargins left="0.7" right="0.7" top="0.75" bottom="0.75" header="0.3" footer="0.3"/>
  <drawing r:id="rId1"/>
</worksheet>
</file>

<file path=docMetadata/LabelInfo.xml><?xml version="1.0" encoding="utf-8"?>
<clbl:labelList xmlns:clbl="http://schemas.microsoft.com/office/2020/mipLabelMetadata">
  <clbl:label id="{9d97530e-8f27-4137-a2a9-5cb4dcf26f2e}" enabled="0" method="" siteId="{9d97530e-8f27-4137-a2a9-5cb4dcf26f2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SM2</vt:lpstr>
      <vt:lpstr>References</vt:lpstr>
      <vt:lpstr>Global</vt:lpstr>
      <vt:lpstr>TotalCost&amp;Energy</vt:lpstr>
      <vt:lpstr>SensitivityAnalysis</vt:lpstr>
      <vt:lpstr>OverviewResults</vt:lpstr>
      <vt:lpstr>MININ</vt:lpstr>
      <vt:lpstr>MINEX</vt:lpstr>
      <vt:lpstr>EW</vt:lpstr>
      <vt:lpstr>DAC</vt:lpstr>
      <vt:lpstr>Heat Pump</vt:lpstr>
      <vt:lpstr>MININ_Pot</vt:lpstr>
      <vt:lpstr>MINEX_IW_Pot</vt:lpstr>
      <vt:lpstr>EW_Pot</vt:lpstr>
      <vt:lpstr>Mining</vt:lpstr>
      <vt:lpstr>Transport</vt:lpstr>
      <vt:lpstr>Comminution</vt:lpstr>
      <vt:lpstr>Rock Handling</vt:lpstr>
      <vt:lpstr>Conversion</vt:lpstr>
      <vt:lpstr>Learning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Andreas Mühlbauer</dc:creator>
  <cp:lastModifiedBy>Dominik Keiner</cp:lastModifiedBy>
  <dcterms:created xsi:type="dcterms:W3CDTF">2023-04-12T18:33:23Z</dcterms:created>
  <dcterms:modified xsi:type="dcterms:W3CDTF">2024-10-17T17:23:54Z</dcterms:modified>
</cp:coreProperties>
</file>