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ttawa-my.sharepoint.com/personal/cudenigw_uottawa_ca/Documents/Documents/Documents/Manuscripts/2 - WORKING PAPERS/Elisa peptide transp dpp4 cell studies/revision/"/>
    </mc:Choice>
  </mc:AlternateContent>
  <xr:revisionPtr revIDLastSave="0" documentId="8_{D6556C9E-6572-4ED2-A396-C463A925732B}" xr6:coauthVersionLast="47" xr6:coauthVersionMax="47" xr10:uidLastSave="{00000000-0000-0000-0000-000000000000}"/>
  <bookViews>
    <workbookView xWindow="30105" yWindow="2400" windowWidth="20970" windowHeight="12630" xr2:uid="{3CD957F4-69CB-416C-BB2D-C6B9FB2B0E59}"/>
  </bookViews>
  <sheets>
    <sheet name="GREEN LENTILS" sheetId="1" r:id="rId1"/>
    <sheet name="YELLOW PE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2" l="1"/>
  <c r="N15" i="2"/>
  <c r="K10" i="2"/>
  <c r="K9" i="2" l="1"/>
  <c r="P74" i="1" l="1"/>
  <c r="P73" i="1"/>
  <c r="P72" i="1"/>
  <c r="P71" i="1"/>
  <c r="P70" i="1"/>
  <c r="J45" i="2"/>
  <c r="I46" i="2"/>
  <c r="I47" i="2"/>
  <c r="I48" i="2"/>
  <c r="I45" i="2"/>
  <c r="H46" i="2"/>
  <c r="H47" i="2"/>
  <c r="H48" i="2"/>
  <c r="H45" i="2"/>
  <c r="G46" i="2"/>
  <c r="N41" i="2" s="1"/>
  <c r="G47" i="2"/>
  <c r="N42" i="2" s="1"/>
  <c r="G48" i="2"/>
  <c r="N43" i="2" s="1"/>
  <c r="G45" i="2"/>
  <c r="N40" i="2" s="1"/>
  <c r="P32" i="2"/>
  <c r="P31" i="2"/>
  <c r="P30" i="2"/>
  <c r="P29" i="2"/>
  <c r="P28" i="2"/>
  <c r="N32" i="2"/>
  <c r="J33" i="2"/>
  <c r="I35" i="2"/>
  <c r="I36" i="2"/>
  <c r="I37" i="2"/>
  <c r="I34" i="2"/>
  <c r="I33" i="2"/>
  <c r="H35" i="2"/>
  <c r="H36" i="2"/>
  <c r="H37" i="2"/>
  <c r="H34" i="2"/>
  <c r="H33" i="2"/>
  <c r="G37" i="2"/>
  <c r="G36" i="2"/>
  <c r="N31" i="2" s="1"/>
  <c r="G34" i="2"/>
  <c r="G35" i="2"/>
  <c r="G33" i="2"/>
  <c r="N28" i="2" s="1"/>
  <c r="O28" i="2"/>
  <c r="D8" i="2"/>
  <c r="D7" i="2"/>
  <c r="D6" i="2"/>
  <c r="R28" i="2" s="1"/>
  <c r="Q28" i="2" l="1"/>
  <c r="N29" i="2"/>
  <c r="N30" i="2"/>
  <c r="T66" i="1"/>
  <c r="T65" i="1"/>
  <c r="T64" i="1"/>
  <c r="T63" i="1"/>
  <c r="C26" i="1"/>
  <c r="O32" i="2"/>
  <c r="O31" i="2"/>
  <c r="O30" i="2"/>
  <c r="O29" i="2"/>
  <c r="K41" i="2"/>
  <c r="K42" i="2"/>
  <c r="K43" i="2"/>
  <c r="K40" i="2"/>
  <c r="K31" i="2"/>
  <c r="M31" i="2" s="1"/>
  <c r="K32" i="2"/>
  <c r="M32" i="2" s="1"/>
  <c r="K29" i="2"/>
  <c r="M29" i="2" s="1"/>
  <c r="K30" i="2"/>
  <c r="M30" i="2" s="1"/>
  <c r="K28" i="2"/>
  <c r="M28" i="2" s="1"/>
  <c r="L61" i="1"/>
  <c r="L55" i="1"/>
  <c r="L56" i="1"/>
  <c r="L49" i="1"/>
  <c r="K61" i="1"/>
  <c r="J61" i="1"/>
  <c r="K57" i="1"/>
  <c r="L57" i="1" s="1"/>
  <c r="J57" i="1"/>
  <c r="K55" i="1"/>
  <c r="K56" i="1"/>
  <c r="J55" i="1"/>
  <c r="J56" i="1"/>
  <c r="K54" i="1"/>
  <c r="K51" i="1"/>
  <c r="K52" i="1"/>
  <c r="K50" i="1"/>
  <c r="J54" i="1"/>
  <c r="L54" i="1" s="1"/>
  <c r="K53" i="1"/>
  <c r="J53" i="1"/>
  <c r="L53" i="1" s="1"/>
  <c r="J51" i="1"/>
  <c r="L51" i="1" s="1"/>
  <c r="J52" i="1"/>
  <c r="L52" i="1" s="1"/>
  <c r="J50" i="1"/>
  <c r="L50" i="1" s="1"/>
  <c r="K49" i="1"/>
  <c r="J49" i="1"/>
  <c r="N14" i="2" l="1"/>
  <c r="N20" i="2"/>
  <c r="N22" i="2"/>
  <c r="N23" i="2"/>
  <c r="M23" i="2"/>
  <c r="M24" i="2"/>
  <c r="K23" i="2"/>
  <c r="K24" i="2"/>
  <c r="N24" i="2" s="1"/>
  <c r="M22" i="2"/>
  <c r="K22" i="2"/>
  <c r="M21" i="2"/>
  <c r="K21" i="2"/>
  <c r="N21" i="2" s="1"/>
  <c r="M20" i="2"/>
  <c r="K20" i="2"/>
  <c r="M19" i="2"/>
  <c r="K19" i="2"/>
  <c r="N19" i="2" s="1"/>
  <c r="M18" i="2"/>
  <c r="N18" i="2" s="1"/>
  <c r="K18" i="2"/>
  <c r="M17" i="2"/>
  <c r="K17" i="2"/>
  <c r="N17" i="2" s="1"/>
  <c r="M15" i="2"/>
  <c r="M16" i="2"/>
  <c r="K15" i="2"/>
  <c r="K16" i="2"/>
  <c r="N16" i="2" s="1"/>
  <c r="K14" i="2"/>
  <c r="M14" i="2"/>
  <c r="K13" i="2"/>
  <c r="N13" i="2" s="1"/>
  <c r="M13" i="2"/>
  <c r="K12" i="2"/>
  <c r="N12" i="2" s="1"/>
  <c r="M11" i="2"/>
  <c r="M12" i="2"/>
  <c r="M10" i="2"/>
  <c r="K11" i="2"/>
  <c r="N11" i="2" s="1"/>
  <c r="M9" i="2"/>
  <c r="N9" i="2"/>
  <c r="D63" i="1"/>
  <c r="D64" i="1"/>
  <c r="D62" i="1"/>
  <c r="D60" i="1"/>
  <c r="D59" i="1"/>
  <c r="D58" i="1"/>
  <c r="D55" i="1"/>
  <c r="D56" i="1"/>
  <c r="D54" i="1"/>
  <c r="D52" i="1"/>
  <c r="D51" i="1"/>
  <c r="D50" i="1"/>
  <c r="D24" i="2"/>
  <c r="D23" i="2"/>
  <c r="D22" i="2"/>
  <c r="D20" i="2"/>
  <c r="D19" i="2"/>
  <c r="D18" i="2"/>
  <c r="D16" i="2"/>
  <c r="D15" i="2"/>
  <c r="D14" i="2"/>
  <c r="D11" i="2"/>
  <c r="D12" i="2"/>
  <c r="D10" i="2"/>
  <c r="L37" i="1"/>
  <c r="L42" i="1"/>
  <c r="L43" i="1"/>
  <c r="L32" i="1"/>
  <c r="K43" i="1"/>
  <c r="J43" i="1"/>
  <c r="K42" i="1"/>
  <c r="J42" i="1"/>
  <c r="J41" i="1"/>
  <c r="L41" i="1" s="1"/>
  <c r="K40" i="1"/>
  <c r="J40" i="1"/>
  <c r="L40" i="1" s="1"/>
  <c r="K39" i="1"/>
  <c r="J39" i="1"/>
  <c r="L39" i="1" s="1"/>
  <c r="K38" i="1"/>
  <c r="J38" i="1"/>
  <c r="L38" i="1" s="1"/>
  <c r="J31" i="1"/>
  <c r="L31" i="1" s="1"/>
  <c r="J37" i="1"/>
  <c r="K36" i="1"/>
  <c r="J36" i="1"/>
  <c r="L36" i="1" s="1"/>
  <c r="J34" i="1"/>
  <c r="L34" i="1" s="1"/>
  <c r="J33" i="1"/>
  <c r="L33" i="1" s="1"/>
  <c r="K33" i="1"/>
  <c r="J32" i="1"/>
  <c r="K31" i="1"/>
  <c r="D43" i="1"/>
  <c r="D41" i="1"/>
  <c r="D39" i="1"/>
  <c r="D37" i="1"/>
  <c r="D35" i="1"/>
  <c r="D34" i="1"/>
  <c r="D32" i="1"/>
  <c r="K14" i="1"/>
  <c r="J14" i="1"/>
  <c r="L14" i="1" s="1"/>
  <c r="K13" i="1"/>
  <c r="J13" i="1"/>
  <c r="L13" i="1" s="1"/>
  <c r="K12" i="1"/>
  <c r="J12" i="1"/>
  <c r="L12" i="1" s="1"/>
  <c r="K11" i="1"/>
  <c r="J11" i="1"/>
  <c r="L11" i="1" s="1"/>
  <c r="K10" i="1"/>
  <c r="J10" i="1"/>
  <c r="K9" i="1"/>
  <c r="J9" i="1"/>
  <c r="L9" i="1" s="1"/>
  <c r="K8" i="1"/>
  <c r="J8" i="1"/>
  <c r="L8" i="1" s="1"/>
  <c r="K7" i="1"/>
  <c r="J7" i="1"/>
  <c r="L7" i="1" s="1"/>
  <c r="D25" i="1"/>
  <c r="D24" i="1"/>
  <c r="D23" i="1"/>
  <c r="D22" i="1"/>
  <c r="D21" i="1"/>
  <c r="D20" i="1"/>
  <c r="D14" i="1"/>
  <c r="D12" i="1"/>
  <c r="D8" i="1"/>
  <c r="R29" i="2" l="1"/>
  <c r="Q29" i="2"/>
  <c r="R30" i="2"/>
  <c r="Q30" i="2"/>
  <c r="R72" i="1"/>
  <c r="U64" i="1"/>
  <c r="R31" i="2"/>
  <c r="Q31" i="2"/>
  <c r="R73" i="1"/>
  <c r="U65" i="1"/>
  <c r="R32" i="2"/>
  <c r="Q32" i="2"/>
  <c r="R71" i="1"/>
  <c r="U63" i="1"/>
  <c r="R74" i="1"/>
  <c r="U66" i="1"/>
  <c r="R70" i="1"/>
  <c r="D26" i="1"/>
  <c r="L10" i="1"/>
</calcChain>
</file>

<file path=xl/sharedStrings.xml><?xml version="1.0" encoding="utf-8"?>
<sst xmlns="http://schemas.openxmlformats.org/spreadsheetml/2006/main" count="141" uniqueCount="47">
  <si>
    <t>29/03/19</t>
  </si>
  <si>
    <t>Green lentils</t>
  </si>
  <si>
    <t>Time</t>
  </si>
  <si>
    <t>A</t>
  </si>
  <si>
    <t>B</t>
  </si>
  <si>
    <t>pH</t>
  </si>
  <si>
    <t>Acidity (mL .1M NaOH)</t>
  </si>
  <si>
    <t>C</t>
  </si>
  <si>
    <t>D</t>
  </si>
  <si>
    <t>3/04319</t>
  </si>
  <si>
    <t>Label</t>
  </si>
  <si>
    <t>P-1</t>
  </si>
  <si>
    <t>P-2</t>
  </si>
  <si>
    <t>P-3</t>
  </si>
  <si>
    <t>MRS</t>
  </si>
  <si>
    <t>NC</t>
  </si>
  <si>
    <t>CFU/mL</t>
  </si>
  <si>
    <t>volume</t>
  </si>
  <si>
    <t>AVG</t>
  </si>
  <si>
    <t>G-1</t>
  </si>
  <si>
    <t>G-2</t>
  </si>
  <si>
    <t>G-3</t>
  </si>
  <si>
    <t>K-1</t>
  </si>
  <si>
    <t>K-2</t>
  </si>
  <si>
    <t>K-3</t>
  </si>
  <si>
    <t>Yellow Pea</t>
  </si>
  <si>
    <t>M-1</t>
  </si>
  <si>
    <t>M-2</t>
  </si>
  <si>
    <t>M-3</t>
  </si>
  <si>
    <t>N-1</t>
  </si>
  <si>
    <t>N-2</t>
  </si>
  <si>
    <t>N-3</t>
  </si>
  <si>
    <t>O-2</t>
  </si>
  <si>
    <t>O-3</t>
  </si>
  <si>
    <t>Q-1</t>
  </si>
  <si>
    <t>Q-2</t>
  </si>
  <si>
    <t>Q-3</t>
  </si>
  <si>
    <t>O-1</t>
  </si>
  <si>
    <t>15/04/19</t>
  </si>
  <si>
    <t>17/04/19</t>
  </si>
  <si>
    <t>Log CFU/mL</t>
  </si>
  <si>
    <t>Yellow Peas</t>
  </si>
  <si>
    <t>Acidity</t>
  </si>
  <si>
    <t>E</t>
  </si>
  <si>
    <t>STD Acidity</t>
  </si>
  <si>
    <t>STD pH</t>
  </si>
  <si>
    <t>STD CFU/ml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</si>
</sst>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/>
      <bottom/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 style="thick">
        <color rgb="FFC00000"/>
      </right>
      <top/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2" xfId="0" applyBorder="1"/>
    <xf numFmtId="0" fontId="1" fillId="0" borderId="3" xfId="0" applyFont="1" applyBorder="1"/>
    <xf numFmtId="0" fontId="0" fillId="0" borderId="2" xfId="0" applyBorder="1" applyAlignment="1">
      <alignment horizontal="center"/>
    </xf>
    <xf numFmtId="0" fontId="1" fillId="0" borderId="2" xfId="0" applyFont="1" applyBorder="1"/>
    <xf numFmtId="11" fontId="0" fillId="0" borderId="2" xfId="0" applyNumberFormat="1" applyBorder="1"/>
    <xf numFmtId="11" fontId="0" fillId="0" borderId="0" xfId="0" applyNumberFormat="1"/>
    <xf numFmtId="0" fontId="0" fillId="0" borderId="3" xfId="0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4" xfId="0" applyBorder="1"/>
    <xf numFmtId="11" fontId="0" fillId="0" borderId="5" xfId="0" applyNumberFormat="1" applyBorder="1"/>
    <xf numFmtId="11" fontId="0" fillId="0" borderId="6" xfId="0" applyNumberFormat="1" applyBorder="1"/>
    <xf numFmtId="11" fontId="0" fillId="0" borderId="10" xfId="0" applyNumberFormat="1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3" borderId="3" xfId="0" applyFill="1" applyBorder="1"/>
    <xf numFmtId="11" fontId="0" fillId="3" borderId="5" xfId="0" applyNumberFormat="1" applyFill="1" applyBorder="1"/>
    <xf numFmtId="11" fontId="0" fillId="3" borderId="6" xfId="0" applyNumberFormat="1" applyFill="1" applyBorder="1"/>
    <xf numFmtId="11" fontId="0" fillId="3" borderId="2" xfId="0" applyNumberFormat="1" applyFill="1" applyBorder="1"/>
    <xf numFmtId="0" fontId="0" fillId="0" borderId="14" xfId="0" applyBorder="1" applyAlignment="1">
      <alignment horizontal="center"/>
    </xf>
    <xf numFmtId="0" fontId="0" fillId="0" borderId="14" xfId="0" applyBorder="1"/>
    <xf numFmtId="11" fontId="0" fillId="0" borderId="14" xfId="0" applyNumberFormat="1" applyBorder="1"/>
    <xf numFmtId="11" fontId="0" fillId="3" borderId="10" xfId="0" applyNumberFormat="1" applyFill="1" applyBorder="1"/>
    <xf numFmtId="11" fontId="1" fillId="0" borderId="2" xfId="0" applyNumberFormat="1" applyFont="1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1" fontId="0" fillId="0" borderId="21" xfId="0" applyNumberFormat="1" applyBorder="1"/>
    <xf numFmtId="11" fontId="0" fillId="0" borderId="19" xfId="0" applyNumberFormat="1" applyBorder="1"/>
    <xf numFmtId="0" fontId="3" fillId="0" borderId="0" xfId="0" applyFont="1" applyAlignment="1">
      <alignment horizontal="center"/>
    </xf>
    <xf numFmtId="0" fontId="3" fillId="0" borderId="0" xfId="0" applyFont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1" fillId="0" borderId="17" xfId="0" applyFont="1" applyBorder="1"/>
    <xf numFmtId="0" fontId="0" fillId="3" borderId="2" xfId="0" applyFill="1" applyBorder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23" xfId="0" applyFont="1" applyBorder="1" applyAlignment="1">
      <alignment horizontal="center"/>
    </xf>
    <xf numFmtId="11" fontId="0" fillId="0" borderId="24" xfId="0" applyNumberFormat="1" applyBorder="1"/>
    <xf numFmtId="2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SSF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Yellow Pea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'YELLOW PEA'!$F$28:$F$32</c:f>
              <c:numCache>
                <c:formatCode>General</c:formatCode>
                <c:ptCount val="5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</c:numCache>
            </c:numRef>
          </c:xVal>
          <c:yVal>
            <c:numRef>
              <c:f>'YELLOW PEA'!$M$28:$M$32</c:f>
              <c:numCache>
                <c:formatCode>0.00</c:formatCode>
                <c:ptCount val="5"/>
                <c:pt idx="0">
                  <c:v>7.0925452076056059</c:v>
                </c:pt>
                <c:pt idx="1">
                  <c:v>9.7269987279362624</c:v>
                </c:pt>
                <c:pt idx="2">
                  <c:v>8.47104710700747</c:v>
                </c:pt>
                <c:pt idx="3">
                  <c:v>6.8850783841492245</c:v>
                </c:pt>
                <c:pt idx="4">
                  <c:v>5.2086204838826013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AF3-4633-BF65-4BD54054D3BD}"/>
            </c:ext>
          </c:extLst>
        </c:ser>
        <c:ser>
          <c:idx val="1"/>
          <c:order val="1"/>
          <c:tx>
            <c:v>Green Lentil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'YELLOW PEA'!$F$40:$F$44</c:f>
              <c:numCache>
                <c:formatCode>General</c:formatCode>
                <c:ptCount val="5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</c:numCache>
            </c:numRef>
          </c:xVal>
          <c:yVal>
            <c:numRef>
              <c:f>'YELLOW PEA'!$M$40:$M$44</c:f>
              <c:numCache>
                <c:formatCode>0.00</c:formatCode>
                <c:ptCount val="5"/>
                <c:pt idx="0">
                  <c:v>7.0080676217480331</c:v>
                </c:pt>
                <c:pt idx="1">
                  <c:v>9.644274425987561</c:v>
                </c:pt>
                <c:pt idx="2">
                  <c:v>9.1487054585660488</c:v>
                </c:pt>
                <c:pt idx="3">
                  <c:v>7.9485759586429285</c:v>
                </c:pt>
                <c:pt idx="4">
                  <c:v>6.5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AF3-4633-BF65-4BD54054D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292584"/>
        <c:axId val="408292912"/>
      </c:scatterChart>
      <c:valAx>
        <c:axId val="408292584"/>
        <c:scaling>
          <c:orientation val="minMax"/>
          <c:max val="9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292912"/>
        <c:crosses val="autoZero"/>
        <c:crossBetween val="midCat"/>
      </c:valAx>
      <c:valAx>
        <c:axId val="408292912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292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220980</xdr:colOff>
      <xdr:row>4</xdr:row>
      <xdr:rowOff>133350</xdr:rowOff>
    </xdr:from>
    <xdr:to>
      <xdr:col>23</xdr:col>
      <xdr:colOff>525780</xdr:colOff>
      <xdr:row>22</xdr:row>
      <xdr:rowOff>87630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3995F5-2804-4B68-938E-2553635239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129E9-CC38-4433-9C6C-889A4840DB86}">
  <dimension ref="A2:U74"/>
  <sheetViews>
    <sheetView tabSelected="1" zoomScale="90" zoomScaleNormal="90" workbookViewId="0">
      <selection activeCell="P14" sqref="P14"/>
    </sheetView>
  </sheetViews>
  <sheetFormatPr defaultRowHeight="14.5" x14ac:dyDescent="0.35"/>
  <cols>
    <col min="4" max="4" width="19.36328125" customWidth="1"/>
    <col min="7" max="7" width="11" bestFit="1" customWidth="1"/>
    <col min="10" max="10" width="11" bestFit="1" customWidth="1"/>
    <col min="11" max="11" width="10.81640625" bestFit="1" customWidth="1"/>
    <col min="12" max="12" width="10.81640625" customWidth="1"/>
  </cols>
  <sheetData>
    <row r="2" spans="1:14" ht="18.5" x14ac:dyDescent="0.45">
      <c r="A2" s="2" t="s">
        <v>1</v>
      </c>
    </row>
    <row r="4" spans="1:14" x14ac:dyDescent="0.35">
      <c r="A4" t="s">
        <v>0</v>
      </c>
      <c r="E4" s="6">
        <v>43589</v>
      </c>
    </row>
    <row r="5" spans="1:14" x14ac:dyDescent="0.35">
      <c r="E5" s="9" t="s">
        <v>14</v>
      </c>
    </row>
    <row r="6" spans="1:14" ht="15" thickBot="1" x14ac:dyDescent="0.4">
      <c r="A6" s="5" t="s">
        <v>10</v>
      </c>
      <c r="B6" s="4" t="s">
        <v>2</v>
      </c>
      <c r="C6" s="4" t="s">
        <v>5</v>
      </c>
      <c r="D6" s="5" t="s">
        <v>6</v>
      </c>
      <c r="E6" s="10">
        <v>-7</v>
      </c>
      <c r="F6" s="5">
        <v>-6</v>
      </c>
      <c r="G6" s="5">
        <v>-5</v>
      </c>
      <c r="H6" s="5">
        <v>-4</v>
      </c>
      <c r="I6" s="5">
        <v>-3</v>
      </c>
      <c r="J6" s="10" t="s">
        <v>16</v>
      </c>
      <c r="K6" s="3"/>
      <c r="L6" s="15" t="s">
        <v>18</v>
      </c>
      <c r="M6" s="18"/>
      <c r="N6" s="18"/>
    </row>
    <row r="7" spans="1:14" ht="15" thickTop="1" x14ac:dyDescent="0.35">
      <c r="A7" s="1" t="s">
        <v>3</v>
      </c>
      <c r="B7" s="8">
        <v>0</v>
      </c>
      <c r="C7" s="8"/>
      <c r="D7" s="7"/>
      <c r="E7" s="9"/>
      <c r="G7">
        <v>4</v>
      </c>
      <c r="H7">
        <v>20</v>
      </c>
      <c r="I7" t="s">
        <v>15</v>
      </c>
      <c r="J7" s="13">
        <f>(4*100000)/0.02</f>
        <v>20000000</v>
      </c>
      <c r="K7" s="14">
        <f>(20*10000)/0.02</f>
        <v>10000000</v>
      </c>
      <c r="L7" s="19">
        <f>AVERAGE(J7:K7)</f>
        <v>15000000</v>
      </c>
      <c r="M7" s="8">
        <v>-7</v>
      </c>
      <c r="N7" s="22">
        <v>10000000</v>
      </c>
    </row>
    <row r="8" spans="1:14" x14ac:dyDescent="0.35">
      <c r="A8" s="1" t="s">
        <v>3</v>
      </c>
      <c r="B8" s="1">
        <v>48</v>
      </c>
      <c r="C8" s="1">
        <v>4.01</v>
      </c>
      <c r="D8" s="1">
        <f>24.9+6.5</f>
        <v>31.4</v>
      </c>
      <c r="E8" s="9">
        <v>4</v>
      </c>
      <c r="F8" s="1">
        <v>14</v>
      </c>
      <c r="G8" t="s">
        <v>15</v>
      </c>
      <c r="J8" s="13">
        <f>(4*10000000)/0.02</f>
        <v>2000000000</v>
      </c>
      <c r="K8" s="14">
        <f>(F8*N8)/N12</f>
        <v>700000000</v>
      </c>
      <c r="L8" s="20">
        <f t="shared" ref="L8:L14" si="0">AVERAGE(J8:K8)</f>
        <v>1350000000</v>
      </c>
      <c r="M8" s="8">
        <v>-6</v>
      </c>
      <c r="N8" s="23">
        <v>1000000</v>
      </c>
    </row>
    <row r="9" spans="1:14" x14ac:dyDescent="0.35">
      <c r="A9" s="1" t="s">
        <v>4</v>
      </c>
      <c r="B9" s="1">
        <v>0</v>
      </c>
      <c r="C9" s="1"/>
      <c r="D9" s="1"/>
      <c r="E9" s="9"/>
      <c r="G9">
        <v>2</v>
      </c>
      <c r="H9">
        <v>24</v>
      </c>
      <c r="I9" t="s">
        <v>15</v>
      </c>
      <c r="J9" s="13">
        <f>(2*N9)/N12</f>
        <v>10000000</v>
      </c>
      <c r="K9" s="14">
        <f>(H9*N10)/N12</f>
        <v>12000000</v>
      </c>
      <c r="L9" s="20">
        <f t="shared" si="0"/>
        <v>11000000</v>
      </c>
      <c r="M9" s="8">
        <v>-5</v>
      </c>
      <c r="N9" s="23">
        <v>100000</v>
      </c>
    </row>
    <row r="10" spans="1:14" x14ac:dyDescent="0.35">
      <c r="A10" s="1" t="s">
        <v>4</v>
      </c>
      <c r="B10" s="1">
        <v>48</v>
      </c>
      <c r="C10" s="1">
        <v>4.0199999999999996</v>
      </c>
      <c r="D10" s="1">
        <v>31.8</v>
      </c>
      <c r="E10" s="11">
        <v>6</v>
      </c>
      <c r="F10" s="1">
        <v>21</v>
      </c>
      <c r="G10" t="s">
        <v>15</v>
      </c>
      <c r="J10" s="13">
        <f>(E10*N7)/N12</f>
        <v>3000000000</v>
      </c>
      <c r="K10" s="14">
        <f>(F10*N8)/N12</f>
        <v>1050000000</v>
      </c>
      <c r="L10" s="20">
        <f t="shared" si="0"/>
        <v>2025000000</v>
      </c>
      <c r="M10" s="8">
        <v>-4</v>
      </c>
      <c r="N10" s="23">
        <v>10000</v>
      </c>
    </row>
    <row r="11" spans="1:14" x14ac:dyDescent="0.35">
      <c r="A11" s="1" t="s">
        <v>7</v>
      </c>
      <c r="B11" s="1">
        <v>0</v>
      </c>
      <c r="C11" s="1"/>
      <c r="D11" s="1"/>
      <c r="E11" s="9"/>
      <c r="G11">
        <v>4</v>
      </c>
      <c r="H11">
        <v>25</v>
      </c>
      <c r="I11" t="s">
        <v>15</v>
      </c>
      <c r="J11" s="13">
        <f>(G11*N9)/N12</f>
        <v>20000000</v>
      </c>
      <c r="K11" s="14">
        <f>(H11*N10)/N12</f>
        <v>12500000</v>
      </c>
      <c r="L11" s="20">
        <f t="shared" si="0"/>
        <v>16250000</v>
      </c>
      <c r="M11" s="8"/>
      <c r="N11" s="23"/>
    </row>
    <row r="12" spans="1:14" ht="15" thickBot="1" x14ac:dyDescent="0.4">
      <c r="A12" s="1" t="s">
        <v>7</v>
      </c>
      <c r="B12" s="1">
        <v>72</v>
      </c>
      <c r="C12" s="1">
        <v>4.0599999999999996</v>
      </c>
      <c r="D12" s="1">
        <f>25+15.9</f>
        <v>40.9</v>
      </c>
      <c r="E12" s="9"/>
      <c r="F12">
        <v>4</v>
      </c>
      <c r="G12" s="1">
        <v>20</v>
      </c>
      <c r="H12" t="s">
        <v>15</v>
      </c>
      <c r="J12" s="13">
        <f>(F12*N8)/N12</f>
        <v>200000000</v>
      </c>
      <c r="K12" s="14">
        <f>(G12*N9)/N12</f>
        <v>100000000</v>
      </c>
      <c r="L12" s="20">
        <f t="shared" si="0"/>
        <v>150000000</v>
      </c>
      <c r="M12" s="24" t="s">
        <v>17</v>
      </c>
      <c r="N12" s="25">
        <v>0.02</v>
      </c>
    </row>
    <row r="13" spans="1:14" ht="15" thickTop="1" x14ac:dyDescent="0.35">
      <c r="A13" s="1" t="s">
        <v>8</v>
      </c>
      <c r="B13" s="1">
        <v>0</v>
      </c>
      <c r="C13" s="1"/>
      <c r="D13" s="1"/>
      <c r="E13" s="9"/>
      <c r="G13">
        <v>5</v>
      </c>
      <c r="H13">
        <v>28</v>
      </c>
      <c r="I13" t="s">
        <v>15</v>
      </c>
      <c r="J13" s="13">
        <f>(G13*N9)/N12</f>
        <v>25000000</v>
      </c>
      <c r="K13" s="14">
        <f>(H13*N10)/N12</f>
        <v>14000000</v>
      </c>
      <c r="L13" s="13">
        <f t="shared" si="0"/>
        <v>19500000</v>
      </c>
      <c r="M13" s="17"/>
    </row>
    <row r="14" spans="1:14" x14ac:dyDescent="0.35">
      <c r="A14" s="1" t="s">
        <v>8</v>
      </c>
      <c r="B14" s="1">
        <v>72</v>
      </c>
      <c r="C14" s="1">
        <v>3.98</v>
      </c>
      <c r="D14" s="1">
        <f>23.9+8.8</f>
        <v>32.700000000000003</v>
      </c>
      <c r="E14" s="9"/>
      <c r="G14">
        <v>4</v>
      </c>
      <c r="H14">
        <v>16</v>
      </c>
      <c r="I14" t="s">
        <v>15</v>
      </c>
      <c r="J14" s="13">
        <f>(G14*N9)/N12</f>
        <v>20000000</v>
      </c>
      <c r="K14" s="14">
        <f>(H14*N10)/N12</f>
        <v>8000000</v>
      </c>
      <c r="L14" s="13">
        <f t="shared" si="0"/>
        <v>14000000</v>
      </c>
      <c r="M14" s="17"/>
    </row>
    <row r="17" spans="1:14" x14ac:dyDescent="0.35">
      <c r="A17" t="s">
        <v>9</v>
      </c>
    </row>
    <row r="18" spans="1:14" x14ac:dyDescent="0.35">
      <c r="E18" s="9" t="s">
        <v>14</v>
      </c>
    </row>
    <row r="19" spans="1:14" ht="15" thickBot="1" x14ac:dyDescent="0.4">
      <c r="A19" s="5" t="s">
        <v>10</v>
      </c>
      <c r="B19" s="4" t="s">
        <v>2</v>
      </c>
      <c r="C19" s="4" t="s">
        <v>5</v>
      </c>
      <c r="D19" s="5" t="s">
        <v>6</v>
      </c>
      <c r="E19" s="10">
        <v>-7</v>
      </c>
      <c r="F19" s="5">
        <v>-6</v>
      </c>
      <c r="G19" s="5">
        <v>-5</v>
      </c>
      <c r="H19" s="5">
        <v>-4</v>
      </c>
      <c r="I19" s="5">
        <v>-3</v>
      </c>
      <c r="J19" s="10" t="s">
        <v>16</v>
      </c>
      <c r="K19" s="3"/>
      <c r="L19" s="15" t="s">
        <v>18</v>
      </c>
      <c r="M19" s="18"/>
      <c r="N19" s="18"/>
    </row>
    <row r="20" spans="1:14" ht="15" thickTop="1" x14ac:dyDescent="0.35">
      <c r="A20" s="1" t="s">
        <v>11</v>
      </c>
      <c r="B20" s="1">
        <v>0</v>
      </c>
      <c r="C20" s="1">
        <v>6.49</v>
      </c>
      <c r="D20" s="1">
        <f>12.1-8.8</f>
        <v>3.2999999999999989</v>
      </c>
      <c r="E20" s="9"/>
      <c r="J20" s="13"/>
      <c r="K20" s="14"/>
      <c r="L20" s="19"/>
      <c r="M20" s="8">
        <v>-7</v>
      </c>
      <c r="N20" s="22">
        <v>10000000</v>
      </c>
    </row>
    <row r="21" spans="1:14" x14ac:dyDescent="0.35">
      <c r="A21" s="1" t="s">
        <v>11</v>
      </c>
      <c r="B21" s="1">
        <v>0</v>
      </c>
      <c r="C21" s="1">
        <v>6.43</v>
      </c>
      <c r="D21" s="1">
        <f>19.4-16.2</f>
        <v>3.1999999999999993</v>
      </c>
      <c r="E21" s="9"/>
      <c r="F21" s="1"/>
      <c r="J21" s="13"/>
      <c r="K21" s="14"/>
      <c r="L21" s="20"/>
      <c r="M21" s="8">
        <v>-6</v>
      </c>
      <c r="N21" s="23">
        <v>1000000</v>
      </c>
    </row>
    <row r="22" spans="1:14" x14ac:dyDescent="0.35">
      <c r="A22" s="1" t="s">
        <v>12</v>
      </c>
      <c r="B22" s="1">
        <v>0</v>
      </c>
      <c r="C22" s="1">
        <v>6.44</v>
      </c>
      <c r="D22" s="1">
        <f>16.2-12.1</f>
        <v>4.0999999999999996</v>
      </c>
      <c r="E22" s="9"/>
      <c r="J22" s="13"/>
      <c r="K22" s="14"/>
      <c r="L22" s="20"/>
      <c r="M22" s="8">
        <v>-5</v>
      </c>
      <c r="N22" s="23">
        <v>100000</v>
      </c>
    </row>
    <row r="23" spans="1:14" x14ac:dyDescent="0.35">
      <c r="A23" s="1" t="s">
        <v>12</v>
      </c>
      <c r="B23" s="1">
        <v>0</v>
      </c>
      <c r="C23" s="1">
        <v>6.38</v>
      </c>
      <c r="D23" s="1">
        <f>23.6-19.4</f>
        <v>4.2000000000000028</v>
      </c>
      <c r="E23" s="11"/>
      <c r="F23" s="1"/>
      <c r="J23" s="13"/>
      <c r="K23" s="14"/>
      <c r="L23" s="20"/>
      <c r="M23" s="8">
        <v>-4</v>
      </c>
      <c r="N23" s="23">
        <v>10000</v>
      </c>
    </row>
    <row r="24" spans="1:14" x14ac:dyDescent="0.35">
      <c r="A24" s="1" t="s">
        <v>13</v>
      </c>
      <c r="B24" s="1">
        <v>0</v>
      </c>
      <c r="C24" s="1">
        <v>6.38</v>
      </c>
      <c r="D24" s="1">
        <f>5-1</f>
        <v>4</v>
      </c>
      <c r="E24" s="9"/>
      <c r="J24" s="13"/>
      <c r="K24" s="14"/>
      <c r="L24" s="20"/>
      <c r="M24" s="8"/>
      <c r="N24" s="23"/>
    </row>
    <row r="25" spans="1:14" ht="15" thickBot="1" x14ac:dyDescent="0.4">
      <c r="A25" s="1" t="s">
        <v>13</v>
      </c>
      <c r="B25" s="1">
        <v>0</v>
      </c>
      <c r="C25" s="1">
        <v>6.35</v>
      </c>
      <c r="D25" s="1">
        <f>8.8-5</f>
        <v>3.8000000000000007</v>
      </c>
      <c r="E25" s="9"/>
      <c r="G25" s="1"/>
      <c r="J25" s="13"/>
      <c r="K25" s="14"/>
      <c r="L25" s="20"/>
      <c r="M25" s="24" t="s">
        <v>17</v>
      </c>
      <c r="N25" s="25">
        <v>0.02</v>
      </c>
    </row>
    <row r="26" spans="1:14" ht="15" thickTop="1" x14ac:dyDescent="0.35">
      <c r="C26" s="54">
        <f>AVERAGE(C20:C25)</f>
        <v>6.4116666666666662</v>
      </c>
      <c r="D26" s="54">
        <f>AVERAGE(D20:D25)</f>
        <v>3.7666666666666671</v>
      </c>
      <c r="E26" s="9"/>
      <c r="J26" s="13"/>
      <c r="K26" s="14"/>
      <c r="L26" s="13"/>
      <c r="M26" s="17"/>
    </row>
    <row r="27" spans="1:14" x14ac:dyDescent="0.35">
      <c r="J27" s="14"/>
      <c r="K27" s="14"/>
      <c r="L27" s="14"/>
      <c r="M27" s="17"/>
    </row>
    <row r="28" spans="1:14" x14ac:dyDescent="0.35">
      <c r="A28" s="6">
        <v>43620</v>
      </c>
      <c r="J28" s="14"/>
      <c r="K28" s="14"/>
      <c r="L28" s="14"/>
      <c r="M28" s="17"/>
    </row>
    <row r="29" spans="1:14" x14ac:dyDescent="0.35">
      <c r="E29" s="9" t="s">
        <v>14</v>
      </c>
    </row>
    <row r="30" spans="1:14" x14ac:dyDescent="0.35">
      <c r="A30" s="5" t="s">
        <v>10</v>
      </c>
      <c r="B30" s="4" t="s">
        <v>2</v>
      </c>
      <c r="C30" s="4" t="s">
        <v>5</v>
      </c>
      <c r="D30" s="5" t="s">
        <v>6</v>
      </c>
      <c r="E30" s="10">
        <v>-7</v>
      </c>
      <c r="F30" s="5">
        <v>-6</v>
      </c>
      <c r="G30" s="5">
        <v>-5</v>
      </c>
      <c r="H30" s="5">
        <v>-4</v>
      </c>
      <c r="I30" s="5">
        <v>-3</v>
      </c>
      <c r="J30" s="10" t="s">
        <v>16</v>
      </c>
      <c r="K30" s="3"/>
      <c r="L30" s="33" t="s">
        <v>18</v>
      </c>
    </row>
    <row r="31" spans="1:14" ht="15" thickBot="1" x14ac:dyDescent="0.4">
      <c r="A31" s="7"/>
      <c r="B31" s="8">
        <v>0</v>
      </c>
      <c r="C31" s="8"/>
      <c r="D31" s="7"/>
      <c r="E31" s="12"/>
      <c r="F31" s="7"/>
      <c r="G31" s="7"/>
      <c r="H31">
        <v>11</v>
      </c>
      <c r="I31">
        <v>77</v>
      </c>
      <c r="J31" s="13">
        <f>(H31*N35)/N37</f>
        <v>5500000</v>
      </c>
      <c r="K31" s="14">
        <f>(I31*N36)/N37</f>
        <v>3850000</v>
      </c>
      <c r="L31" s="36">
        <f>AVERAGE(J31:K31)</f>
        <v>4675000</v>
      </c>
    </row>
    <row r="32" spans="1:14" ht="15" thickTop="1" x14ac:dyDescent="0.35">
      <c r="A32" s="1" t="s">
        <v>19</v>
      </c>
      <c r="B32" s="1">
        <v>48</v>
      </c>
      <c r="C32" s="1">
        <v>4.01</v>
      </c>
      <c r="D32" s="1">
        <f>24.9+5.8</f>
        <v>30.7</v>
      </c>
      <c r="E32" s="9"/>
      <c r="F32">
        <v>43</v>
      </c>
      <c r="G32" t="s">
        <v>15</v>
      </c>
      <c r="H32" t="s">
        <v>15</v>
      </c>
      <c r="J32" s="13">
        <f>(F32*N33)/N37</f>
        <v>2150000000</v>
      </c>
      <c r="K32" s="14"/>
      <c r="L32" s="36">
        <f>AVERAGE(J32:K32)</f>
        <v>2150000000</v>
      </c>
      <c r="M32" s="28">
        <v>-7</v>
      </c>
      <c r="N32" s="22">
        <v>10000000</v>
      </c>
    </row>
    <row r="33" spans="1:14" x14ac:dyDescent="0.35">
      <c r="A33" s="1"/>
      <c r="B33" s="1">
        <v>0</v>
      </c>
      <c r="C33" s="1"/>
      <c r="D33" s="1"/>
      <c r="E33" s="9"/>
      <c r="F33" s="1"/>
      <c r="G33">
        <v>1</v>
      </c>
      <c r="H33">
        <v>8</v>
      </c>
      <c r="I33">
        <v>64</v>
      </c>
      <c r="J33" s="14">
        <f>(G33*N34)</f>
        <v>100000</v>
      </c>
      <c r="K33" s="13">
        <f>(H33*N35)</f>
        <v>80000</v>
      </c>
      <c r="L33" s="36">
        <f t="shared" ref="L33:L43" si="1">AVERAGE(J33:K33)</f>
        <v>90000</v>
      </c>
      <c r="M33" s="29">
        <v>-6</v>
      </c>
      <c r="N33" s="23">
        <v>1000000</v>
      </c>
    </row>
    <row r="34" spans="1:14" x14ac:dyDescent="0.35">
      <c r="A34" s="1" t="s">
        <v>20</v>
      </c>
      <c r="B34" s="1">
        <v>48</v>
      </c>
      <c r="C34" s="1">
        <v>3.99</v>
      </c>
      <c r="D34" s="26">
        <f>25+7.5</f>
        <v>32.5</v>
      </c>
      <c r="E34" s="9"/>
      <c r="F34">
        <v>37</v>
      </c>
      <c r="G34" t="s">
        <v>15</v>
      </c>
      <c r="H34" t="s">
        <v>15</v>
      </c>
      <c r="J34" s="13">
        <f>(F34*N33)/N37</f>
        <v>1850000000</v>
      </c>
      <c r="K34" s="14"/>
      <c r="L34" s="36">
        <f t="shared" si="1"/>
        <v>1850000000</v>
      </c>
      <c r="M34" s="29">
        <v>-5</v>
      </c>
      <c r="N34" s="23">
        <v>100000</v>
      </c>
    </row>
    <row r="35" spans="1:14" x14ac:dyDescent="0.35">
      <c r="A35" s="1" t="s">
        <v>20</v>
      </c>
      <c r="B35" s="1">
        <v>48</v>
      </c>
      <c r="C35" s="1">
        <v>3.94</v>
      </c>
      <c r="D35" s="26">
        <f>25+4.4</f>
        <v>29.4</v>
      </c>
      <c r="E35" s="11"/>
      <c r="F35" s="1"/>
      <c r="J35" s="13"/>
      <c r="K35" s="14"/>
      <c r="L35" s="36"/>
      <c r="M35" s="29">
        <v>-4</v>
      </c>
      <c r="N35" s="23">
        <v>10000</v>
      </c>
    </row>
    <row r="36" spans="1:14" x14ac:dyDescent="0.35">
      <c r="A36" s="1"/>
      <c r="B36" s="1">
        <v>0</v>
      </c>
      <c r="C36" s="1"/>
      <c r="D36" s="1"/>
      <c r="E36" s="11"/>
      <c r="F36" s="1"/>
      <c r="H36">
        <v>5</v>
      </c>
      <c r="I36">
        <v>72</v>
      </c>
      <c r="J36" s="13">
        <f>(H36*N35)/N37</f>
        <v>2500000</v>
      </c>
      <c r="K36" s="14">
        <f>(I36*N36)/N37</f>
        <v>3600000</v>
      </c>
      <c r="L36" s="36">
        <f t="shared" si="1"/>
        <v>3050000</v>
      </c>
      <c r="M36" s="29">
        <v>-3</v>
      </c>
      <c r="N36" s="23">
        <v>1000</v>
      </c>
    </row>
    <row r="37" spans="1:14" ht="15" thickBot="1" x14ac:dyDescent="0.4">
      <c r="A37" s="1" t="s">
        <v>21</v>
      </c>
      <c r="B37" s="1">
        <v>48</v>
      </c>
      <c r="C37" s="1">
        <v>3.95</v>
      </c>
      <c r="D37" s="1">
        <f>25+6.3</f>
        <v>31.3</v>
      </c>
      <c r="E37" s="9"/>
      <c r="F37">
        <v>30</v>
      </c>
      <c r="G37" t="s">
        <v>15</v>
      </c>
      <c r="H37" t="s">
        <v>15</v>
      </c>
      <c r="J37" s="13">
        <f>(F37*N33)/N37</f>
        <v>1500000000</v>
      </c>
      <c r="K37" s="14"/>
      <c r="L37" s="36">
        <f t="shared" si="1"/>
        <v>1500000000</v>
      </c>
      <c r="M37" s="30" t="s">
        <v>17</v>
      </c>
      <c r="N37" s="25">
        <v>0.02</v>
      </c>
    </row>
    <row r="38" spans="1:14" ht="15" thickTop="1" x14ac:dyDescent="0.35">
      <c r="A38" s="37"/>
      <c r="B38" s="37">
        <v>0</v>
      </c>
      <c r="C38" s="37"/>
      <c r="D38" s="37"/>
      <c r="E38" s="27"/>
      <c r="F38" s="38"/>
      <c r="G38" s="37">
        <v>1</v>
      </c>
      <c r="H38" s="38">
        <v>9</v>
      </c>
      <c r="I38" s="38">
        <v>77</v>
      </c>
      <c r="J38" s="21">
        <f>(G38*N34)/N37</f>
        <v>5000000</v>
      </c>
      <c r="K38" s="39">
        <f>(H38*N35)/N37</f>
        <v>4500000</v>
      </c>
      <c r="L38" s="40">
        <f t="shared" si="1"/>
        <v>4750000</v>
      </c>
      <c r="M38" s="8"/>
      <c r="N38" s="1"/>
    </row>
    <row r="39" spans="1:14" x14ac:dyDescent="0.35">
      <c r="A39" s="1" t="s">
        <v>22</v>
      </c>
      <c r="B39" s="1">
        <v>72</v>
      </c>
      <c r="C39" s="1">
        <v>3.96</v>
      </c>
      <c r="D39" s="1">
        <f>(25-0.6)+7.3</f>
        <v>31.7</v>
      </c>
      <c r="E39" s="9"/>
      <c r="G39">
        <v>2</v>
      </c>
      <c r="H39">
        <v>46</v>
      </c>
      <c r="I39" t="s">
        <v>15</v>
      </c>
      <c r="J39" s="13">
        <f>(G39*N34)/N37</f>
        <v>10000000</v>
      </c>
      <c r="K39" s="14">
        <f>(H39*N35)/N37</f>
        <v>23000000</v>
      </c>
      <c r="L39" s="36">
        <f t="shared" si="1"/>
        <v>16500000</v>
      </c>
      <c r="M39" s="17"/>
    </row>
    <row r="40" spans="1:14" x14ac:dyDescent="0.35">
      <c r="A40" s="32"/>
      <c r="B40" s="1">
        <v>0</v>
      </c>
      <c r="C40" s="1"/>
      <c r="D40" s="1"/>
      <c r="E40" s="9"/>
      <c r="G40">
        <v>1</v>
      </c>
      <c r="H40">
        <v>15</v>
      </c>
      <c r="I40">
        <v>76</v>
      </c>
      <c r="J40" s="13">
        <f>(G40*N35)/N37</f>
        <v>500000</v>
      </c>
      <c r="K40" s="14">
        <f>(H40*N35)/N37</f>
        <v>7500000</v>
      </c>
      <c r="L40" s="36">
        <f t="shared" si="1"/>
        <v>4000000</v>
      </c>
      <c r="M40" s="17"/>
    </row>
    <row r="41" spans="1:14" x14ac:dyDescent="0.35">
      <c r="A41" s="1" t="s">
        <v>23</v>
      </c>
      <c r="B41" s="1">
        <v>72</v>
      </c>
      <c r="C41" s="1">
        <v>3.9</v>
      </c>
      <c r="D41" s="1">
        <f>24.9+7.2</f>
        <v>32.1</v>
      </c>
      <c r="E41" s="9"/>
      <c r="G41">
        <v>34</v>
      </c>
      <c r="H41" t="s">
        <v>15</v>
      </c>
      <c r="I41" t="s">
        <v>15</v>
      </c>
      <c r="J41" s="13">
        <f>(G41*N34)/N37</f>
        <v>170000000</v>
      </c>
      <c r="K41" s="14"/>
      <c r="L41" s="36">
        <f t="shared" si="1"/>
        <v>170000000</v>
      </c>
    </row>
    <row r="42" spans="1:14" x14ac:dyDescent="0.35">
      <c r="A42" s="1"/>
      <c r="B42" s="1">
        <v>0</v>
      </c>
      <c r="C42" s="1"/>
      <c r="D42" s="1"/>
      <c r="E42" s="9"/>
      <c r="G42">
        <v>1</v>
      </c>
      <c r="H42">
        <v>11</v>
      </c>
      <c r="I42" t="s">
        <v>15</v>
      </c>
      <c r="J42" s="13">
        <f>(G42*N34)/N37</f>
        <v>5000000</v>
      </c>
      <c r="K42" s="14">
        <f>(H42*N35)/N37</f>
        <v>5500000</v>
      </c>
      <c r="L42" s="36">
        <f t="shared" si="1"/>
        <v>5250000</v>
      </c>
    </row>
    <row r="43" spans="1:14" x14ac:dyDescent="0.35">
      <c r="A43" s="1" t="s">
        <v>24</v>
      </c>
      <c r="B43" s="1">
        <v>72</v>
      </c>
      <c r="C43" s="1">
        <v>3.94</v>
      </c>
      <c r="D43" s="1">
        <f>24.9+8.9</f>
        <v>33.799999999999997</v>
      </c>
      <c r="E43" s="9"/>
      <c r="F43">
        <v>2</v>
      </c>
      <c r="G43" s="1">
        <v>12</v>
      </c>
      <c r="H43" t="s">
        <v>15</v>
      </c>
      <c r="J43" s="13">
        <f>(F43*N33)/N37</f>
        <v>100000000</v>
      </c>
      <c r="K43" s="14">
        <f>(G43*N34)/N37</f>
        <v>60000000</v>
      </c>
      <c r="L43" s="36">
        <f t="shared" si="1"/>
        <v>80000000</v>
      </c>
    </row>
    <row r="46" spans="1:14" x14ac:dyDescent="0.35">
      <c r="A46" t="s">
        <v>39</v>
      </c>
      <c r="E46" s="6"/>
    </row>
    <row r="47" spans="1:14" x14ac:dyDescent="0.35">
      <c r="E47" s="9" t="s">
        <v>14</v>
      </c>
    </row>
    <row r="48" spans="1:14" ht="15" thickBot="1" x14ac:dyDescent="0.4">
      <c r="A48" s="5" t="s">
        <v>10</v>
      </c>
      <c r="B48" s="4" t="s">
        <v>2</v>
      </c>
      <c r="C48" s="4" t="s">
        <v>5</v>
      </c>
      <c r="D48" s="5" t="s">
        <v>6</v>
      </c>
      <c r="E48" s="10">
        <v>-7</v>
      </c>
      <c r="F48" s="5">
        <v>-6</v>
      </c>
      <c r="G48" s="5">
        <v>-5</v>
      </c>
      <c r="H48" s="5">
        <v>-4</v>
      </c>
      <c r="I48" s="5">
        <v>-3</v>
      </c>
      <c r="J48" s="10" t="s">
        <v>16</v>
      </c>
      <c r="K48" s="3"/>
      <c r="L48" s="15" t="s">
        <v>18</v>
      </c>
      <c r="M48" s="18"/>
      <c r="N48" s="18"/>
    </row>
    <row r="49" spans="1:21" ht="15.5" thickTop="1" thickBot="1" x14ac:dyDescent="0.4">
      <c r="A49" s="7"/>
      <c r="B49" s="8"/>
      <c r="C49" s="8"/>
      <c r="D49" s="7"/>
      <c r="E49" s="12"/>
      <c r="F49" s="7"/>
      <c r="G49" s="7">
        <v>3</v>
      </c>
      <c r="H49" s="7">
        <v>20</v>
      </c>
      <c r="I49" s="7"/>
      <c r="J49" s="41">
        <f>(G49*N52)/N56</f>
        <v>15000000</v>
      </c>
      <c r="K49" s="14">
        <f>(H49*N54)/N56</f>
        <v>10000000</v>
      </c>
      <c r="L49" s="13">
        <f>AVERAGE(J49:K49)</f>
        <v>12500000</v>
      </c>
    </row>
    <row r="50" spans="1:21" ht="15" thickTop="1" x14ac:dyDescent="0.35">
      <c r="A50" s="1" t="s">
        <v>26</v>
      </c>
      <c r="B50" s="1">
        <v>24</v>
      </c>
      <c r="C50" s="1">
        <v>4.17</v>
      </c>
      <c r="D50" s="1">
        <f>24.5+4.1</f>
        <v>28.6</v>
      </c>
      <c r="E50" s="31">
        <v>14</v>
      </c>
      <c r="F50" s="16">
        <v>86</v>
      </c>
      <c r="J50" s="14">
        <f>(E50*$N$50)/$N$56</f>
        <v>7000000000</v>
      </c>
      <c r="K50" s="14">
        <f>(F50*$N$51)/$N$56</f>
        <v>4300000000</v>
      </c>
      <c r="L50" s="13">
        <f t="shared" ref="L50:L57" si="2">AVERAGE(J50:K50)</f>
        <v>5650000000</v>
      </c>
      <c r="M50" s="8">
        <v>-7</v>
      </c>
      <c r="N50" s="22">
        <v>10000000</v>
      </c>
    </row>
    <row r="51" spans="1:21" x14ac:dyDescent="0.35">
      <c r="A51" s="1" t="s">
        <v>27</v>
      </c>
      <c r="B51" s="1">
        <v>24</v>
      </c>
      <c r="C51" s="1">
        <v>4.22</v>
      </c>
      <c r="D51" s="1">
        <f>24.5+4.8</f>
        <v>29.3</v>
      </c>
      <c r="E51" s="31">
        <v>11</v>
      </c>
      <c r="F51" s="16">
        <v>60</v>
      </c>
      <c r="J51" s="14">
        <f t="shared" ref="J51:J52" si="3">(E51*$N$50)/$N$56</f>
        <v>5500000000</v>
      </c>
      <c r="K51" s="14">
        <f>(F51*$N$51)/$N$56</f>
        <v>3000000000</v>
      </c>
      <c r="L51" s="13">
        <f t="shared" si="2"/>
        <v>4250000000</v>
      </c>
      <c r="M51" s="8">
        <v>-6</v>
      </c>
      <c r="N51" s="23">
        <v>1000000</v>
      </c>
    </row>
    <row r="52" spans="1:21" x14ac:dyDescent="0.35">
      <c r="A52" s="1" t="s">
        <v>28</v>
      </c>
      <c r="B52" s="1">
        <v>24</v>
      </c>
      <c r="C52" s="1">
        <v>4.1900000000000004</v>
      </c>
      <c r="D52" s="1">
        <f>25+4.9</f>
        <v>29.9</v>
      </c>
      <c r="E52" s="31">
        <v>7</v>
      </c>
      <c r="F52" s="16">
        <v>63</v>
      </c>
      <c r="J52" s="14">
        <f t="shared" si="3"/>
        <v>3500000000</v>
      </c>
      <c r="K52" s="14">
        <f t="shared" ref="K52" si="4">(F52*$N$51)/$N$56</f>
        <v>3150000000</v>
      </c>
      <c r="L52" s="13">
        <f t="shared" si="2"/>
        <v>3325000000</v>
      </c>
      <c r="M52" s="8">
        <v>-5</v>
      </c>
      <c r="N52" s="23">
        <v>100000</v>
      </c>
    </row>
    <row r="53" spans="1:21" x14ac:dyDescent="0.35">
      <c r="A53" s="1"/>
      <c r="B53" s="1"/>
      <c r="C53" s="1"/>
      <c r="D53" s="1"/>
      <c r="E53" s="31"/>
      <c r="F53" s="16"/>
      <c r="G53">
        <v>2</v>
      </c>
      <c r="H53">
        <v>17</v>
      </c>
      <c r="J53" s="13">
        <f>(G53*N52)/N56</f>
        <v>10000000</v>
      </c>
      <c r="K53" s="14">
        <f>(H53*N54)/N56</f>
        <v>8500000</v>
      </c>
      <c r="L53" s="13">
        <f t="shared" si="2"/>
        <v>9250000</v>
      </c>
      <c r="M53" s="8"/>
      <c r="N53" s="23"/>
    </row>
    <row r="54" spans="1:21" x14ac:dyDescent="0.35">
      <c r="A54" s="1" t="s">
        <v>29</v>
      </c>
      <c r="B54" s="1">
        <v>48</v>
      </c>
      <c r="C54" s="1">
        <v>4.21</v>
      </c>
      <c r="D54" s="1">
        <f>25+5.8</f>
        <v>30.8</v>
      </c>
      <c r="E54" s="31">
        <v>2</v>
      </c>
      <c r="F54" s="16">
        <v>15</v>
      </c>
      <c r="J54" s="14">
        <f>(E54*$N$50)/$N$56</f>
        <v>1000000000</v>
      </c>
      <c r="K54" s="14">
        <f>(F54*$N$51)/$N$56</f>
        <v>750000000</v>
      </c>
      <c r="L54" s="13">
        <f t="shared" si="2"/>
        <v>875000000</v>
      </c>
      <c r="M54" s="8">
        <v>-4</v>
      </c>
      <c r="N54" s="23">
        <v>10000</v>
      </c>
    </row>
    <row r="55" spans="1:21" x14ac:dyDescent="0.35">
      <c r="A55" s="1" t="s">
        <v>30</v>
      </c>
      <c r="B55" s="1">
        <v>48</v>
      </c>
      <c r="C55" s="1">
        <v>4.1100000000000003</v>
      </c>
      <c r="D55" s="1">
        <f>25+(13.8-5.9)</f>
        <v>32.9</v>
      </c>
      <c r="E55" s="31">
        <v>5</v>
      </c>
      <c r="F55" s="16">
        <v>44</v>
      </c>
      <c r="J55" s="14">
        <f t="shared" ref="J55:J56" si="5">(E55*$N$50)/$N$56</f>
        <v>2500000000</v>
      </c>
      <c r="K55" s="14">
        <f t="shared" ref="K55:K56" si="6">(F55*$N$51)/$N$56</f>
        <v>2200000000</v>
      </c>
      <c r="L55" s="13">
        <f t="shared" si="2"/>
        <v>2350000000</v>
      </c>
      <c r="M55" s="8"/>
      <c r="N55" s="23"/>
    </row>
    <row r="56" spans="1:21" ht="15" thickBot="1" x14ac:dyDescent="0.4">
      <c r="A56" s="1" t="s">
        <v>31</v>
      </c>
      <c r="B56" s="1">
        <v>48</v>
      </c>
      <c r="C56" s="1">
        <v>4.1500000000000004</v>
      </c>
      <c r="D56" s="1">
        <f>25+(20.2-13.8)</f>
        <v>31.4</v>
      </c>
      <c r="E56" s="31">
        <v>2</v>
      </c>
      <c r="F56" s="16">
        <v>20</v>
      </c>
      <c r="G56" s="1"/>
      <c r="J56" s="14">
        <f t="shared" si="5"/>
        <v>1000000000</v>
      </c>
      <c r="K56" s="14">
        <f t="shared" si="6"/>
        <v>1000000000</v>
      </c>
      <c r="L56" s="13">
        <f t="shared" si="2"/>
        <v>1000000000</v>
      </c>
      <c r="M56" s="24" t="s">
        <v>17</v>
      </c>
      <c r="N56" s="25">
        <v>0.02</v>
      </c>
    </row>
    <row r="57" spans="1:21" ht="15" thickTop="1" x14ac:dyDescent="0.35">
      <c r="A57" s="1"/>
      <c r="B57" s="1"/>
      <c r="C57" s="1"/>
      <c r="D57" s="1"/>
      <c r="E57" s="9"/>
      <c r="G57" s="1">
        <v>1</v>
      </c>
      <c r="H57">
        <v>18</v>
      </c>
      <c r="J57" s="13">
        <f>(G57*N52)/N56</f>
        <v>5000000</v>
      </c>
      <c r="K57" s="14">
        <f>(H57*N54)/N56</f>
        <v>9000000</v>
      </c>
      <c r="L57" s="13">
        <f t="shared" si="2"/>
        <v>7000000</v>
      </c>
      <c r="M57" s="8"/>
      <c r="N57" s="1"/>
    </row>
    <row r="58" spans="1:21" x14ac:dyDescent="0.35">
      <c r="A58" s="1" t="s">
        <v>37</v>
      </c>
      <c r="B58" s="1">
        <v>72</v>
      </c>
      <c r="C58" s="1">
        <v>4.0199999999999996</v>
      </c>
      <c r="D58" s="1">
        <f>24.9+8.2</f>
        <v>33.099999999999994</v>
      </c>
      <c r="E58" s="9"/>
      <c r="J58" s="13"/>
      <c r="K58" s="14"/>
      <c r="L58" s="13"/>
      <c r="M58" s="17"/>
    </row>
    <row r="59" spans="1:21" x14ac:dyDescent="0.35">
      <c r="A59" s="1" t="s">
        <v>32</v>
      </c>
      <c r="B59" s="1">
        <v>72</v>
      </c>
      <c r="C59" s="1">
        <v>4.03</v>
      </c>
      <c r="D59" s="1">
        <f>25+6</f>
        <v>31</v>
      </c>
      <c r="E59" s="9"/>
      <c r="J59" s="13"/>
      <c r="K59" s="14"/>
      <c r="L59" s="13"/>
      <c r="M59" s="17"/>
    </row>
    <row r="60" spans="1:21" ht="15" thickBot="1" x14ac:dyDescent="0.4">
      <c r="A60" s="1" t="s">
        <v>33</v>
      </c>
      <c r="B60" s="1">
        <v>72</v>
      </c>
      <c r="C60" s="1">
        <v>4.05</v>
      </c>
      <c r="D60" s="1">
        <f>25+(11.4-6.3)</f>
        <v>30.1</v>
      </c>
      <c r="E60" s="9"/>
      <c r="J60" s="13"/>
      <c r="K60" s="14"/>
      <c r="L60" s="9"/>
    </row>
    <row r="61" spans="1:21" x14ac:dyDescent="0.35">
      <c r="A61" s="1"/>
      <c r="B61" s="1"/>
      <c r="C61" s="1"/>
      <c r="D61" s="1"/>
      <c r="E61" s="9"/>
      <c r="G61">
        <v>3</v>
      </c>
      <c r="H61">
        <v>18</v>
      </c>
      <c r="J61" s="13">
        <f>(G61*N52)/N56</f>
        <v>15000000</v>
      </c>
      <c r="K61" s="14">
        <f>(H61*N54)/N56</f>
        <v>9000000</v>
      </c>
      <c r="L61" s="13">
        <f>AVERAGE(J61:K61)</f>
        <v>12000000</v>
      </c>
      <c r="M61" s="48" t="s">
        <v>2</v>
      </c>
      <c r="N61" s="42"/>
      <c r="O61" s="42"/>
      <c r="P61" s="42"/>
      <c r="Q61" s="42"/>
      <c r="R61" s="43"/>
      <c r="S61" s="8" t="s">
        <v>40</v>
      </c>
      <c r="T61" s="8" t="s">
        <v>5</v>
      </c>
      <c r="U61" s="8" t="s">
        <v>42</v>
      </c>
    </row>
    <row r="62" spans="1:21" x14ac:dyDescent="0.35">
      <c r="A62" s="1" t="s">
        <v>34</v>
      </c>
      <c r="B62" s="1">
        <v>96</v>
      </c>
      <c r="C62" s="1">
        <v>4.04</v>
      </c>
      <c r="D62" s="1">
        <f>25+(17.4-11.5)</f>
        <v>30.9</v>
      </c>
      <c r="E62" s="9"/>
      <c r="J62" s="13"/>
      <c r="K62" s="14"/>
      <c r="L62" s="9"/>
      <c r="M62" s="49">
        <v>0</v>
      </c>
      <c r="N62" s="14">
        <v>12500000</v>
      </c>
      <c r="O62" s="14">
        <v>9250000</v>
      </c>
      <c r="P62" s="14">
        <v>7000000</v>
      </c>
      <c r="Q62">
        <v>12000000</v>
      </c>
      <c r="R62" s="44"/>
      <c r="S62" s="55">
        <v>7.0080676217480331</v>
      </c>
      <c r="T62" s="55">
        <v>6.4116666666666662</v>
      </c>
      <c r="U62" s="55">
        <v>3.7666666666666671</v>
      </c>
    </row>
    <row r="63" spans="1:21" x14ac:dyDescent="0.35">
      <c r="A63" s="1" t="s">
        <v>35</v>
      </c>
      <c r="B63" s="1">
        <v>96</v>
      </c>
      <c r="C63" s="1">
        <v>4.0999999999999996</v>
      </c>
      <c r="D63" s="1">
        <f>25+(22.7-17.4)</f>
        <v>30.3</v>
      </c>
      <c r="E63" s="9"/>
      <c r="J63" s="9"/>
      <c r="L63" s="9"/>
      <c r="M63" s="49">
        <v>24</v>
      </c>
      <c r="N63">
        <v>5650000000</v>
      </c>
      <c r="O63">
        <v>4250000000</v>
      </c>
      <c r="P63">
        <v>3325000000</v>
      </c>
      <c r="R63" s="44"/>
      <c r="S63" s="55">
        <v>9.644274425987561</v>
      </c>
      <c r="T63" s="55">
        <f>AVERAGE(C50:C52)</f>
        <v>4.1933333333333342</v>
      </c>
      <c r="U63" s="55">
        <f>AVERAGE(D50:D52)</f>
        <v>29.266666666666669</v>
      </c>
    </row>
    <row r="64" spans="1:21" x14ac:dyDescent="0.35">
      <c r="A64" s="1" t="s">
        <v>36</v>
      </c>
      <c r="B64" s="1">
        <v>96</v>
      </c>
      <c r="C64" s="1">
        <v>4.0599999999999996</v>
      </c>
      <c r="D64" s="1">
        <f>25+(16.8-11.3)</f>
        <v>30.5</v>
      </c>
      <c r="E64" s="9"/>
      <c r="J64" s="9"/>
      <c r="L64" s="9"/>
      <c r="M64" s="49">
        <v>48</v>
      </c>
      <c r="N64">
        <v>875000000</v>
      </c>
      <c r="O64">
        <v>2350000000</v>
      </c>
      <c r="P64">
        <v>1000000000</v>
      </c>
      <c r="R64" s="44"/>
      <c r="S64" s="55">
        <v>9.1487054585660488</v>
      </c>
      <c r="T64" s="55">
        <f>AVERAGE(C54:C56)</f>
        <v>4.1566666666666672</v>
      </c>
      <c r="U64" s="55">
        <f>AVERAGE(D54:D56)</f>
        <v>31.7</v>
      </c>
    </row>
    <row r="65" spans="12:21" x14ac:dyDescent="0.35">
      <c r="M65" s="49">
        <v>72</v>
      </c>
      <c r="N65">
        <v>16500000</v>
      </c>
      <c r="O65">
        <v>170000000</v>
      </c>
      <c r="P65">
        <v>80000000</v>
      </c>
      <c r="R65" s="44"/>
      <c r="S65" s="55">
        <v>7.9485759586429285</v>
      </c>
      <c r="T65" s="55">
        <f>AVERAGE(C58:C60)</f>
        <v>4.0333333333333341</v>
      </c>
      <c r="U65" s="55">
        <f>AVERAGE(D58:D60)</f>
        <v>31.399999999999995</v>
      </c>
    </row>
    <row r="66" spans="12:21" x14ac:dyDescent="0.35">
      <c r="M66" s="49">
        <v>96</v>
      </c>
      <c r="R66" s="44"/>
      <c r="S66" s="55">
        <v>6.5</v>
      </c>
      <c r="T66" s="55">
        <f>AVERAGE(C62:C64)</f>
        <v>4.0666666666666664</v>
      </c>
      <c r="U66" s="55">
        <f>AVERAGE(D62:D64)</f>
        <v>30.566666666666666</v>
      </c>
    </row>
    <row r="67" spans="12:21" ht="15" thickBot="1" x14ac:dyDescent="0.4">
      <c r="M67" s="45"/>
      <c r="N67" s="46"/>
      <c r="O67" s="46"/>
      <c r="P67" s="46"/>
      <c r="Q67" s="46"/>
      <c r="R67" s="47"/>
    </row>
    <row r="69" spans="12:21" x14ac:dyDescent="0.35">
      <c r="M69" t="s">
        <v>40</v>
      </c>
      <c r="N69" t="s">
        <v>46</v>
      </c>
      <c r="O69" t="s">
        <v>5</v>
      </c>
      <c r="P69" t="s">
        <v>45</v>
      </c>
      <c r="Q69" t="s">
        <v>42</v>
      </c>
      <c r="R69" t="s">
        <v>44</v>
      </c>
    </row>
    <row r="70" spans="12:21" x14ac:dyDescent="0.35">
      <c r="L70">
        <v>0</v>
      </c>
      <c r="M70" s="54">
        <v>7.0080676217480331</v>
      </c>
      <c r="N70" s="54">
        <v>0.11656485194582999</v>
      </c>
      <c r="O70" s="54">
        <v>6.4116666666666662</v>
      </c>
      <c r="P70" s="54">
        <f>_xlfn.STDEV.S(C20:C25)</f>
        <v>5.1153364177409559E-2</v>
      </c>
      <c r="Q70" s="54">
        <v>3.7666666666666671</v>
      </c>
      <c r="R70" s="54">
        <f>_xlfn.STDEV.S(D20:D25)</f>
        <v>0.42268979957726227</v>
      </c>
    </row>
    <row r="71" spans="12:21" x14ac:dyDescent="0.35">
      <c r="L71">
        <v>24</v>
      </c>
      <c r="M71" s="54">
        <v>9.644274425987561</v>
      </c>
      <c r="N71" s="54">
        <v>0.11523371152734566</v>
      </c>
      <c r="O71" s="54">
        <v>4.1933333333333342</v>
      </c>
      <c r="P71" s="54">
        <f>_xlfn.STDEV.S(C50:C52)</f>
        <v>2.5166114784235707E-2</v>
      </c>
      <c r="Q71" s="54">
        <v>29.266666666666669</v>
      </c>
      <c r="R71" s="54">
        <f>_xlfn.STDEV.S(D50:D52)</f>
        <v>0.65064070986476985</v>
      </c>
    </row>
    <row r="72" spans="12:21" x14ac:dyDescent="0.35">
      <c r="L72">
        <v>48</v>
      </c>
      <c r="M72" s="54">
        <v>9.1487054585660488</v>
      </c>
      <c r="N72" s="54">
        <v>0.23278987099898024</v>
      </c>
      <c r="O72" s="54">
        <v>4.1566666666666672</v>
      </c>
      <c r="P72" s="54">
        <f>_xlfn.STDEV.S(C54:C56)</f>
        <v>5.033222956847147E-2</v>
      </c>
      <c r="Q72" s="54">
        <v>31.7</v>
      </c>
      <c r="R72" s="54">
        <f>_xlfn.STDEV.S(D54:D56)</f>
        <v>1.0816653826391958</v>
      </c>
    </row>
    <row r="73" spans="12:21" x14ac:dyDescent="0.35">
      <c r="L73">
        <v>72</v>
      </c>
      <c r="M73" s="54">
        <v>7.9485759586429285</v>
      </c>
      <c r="N73" s="54">
        <v>0.51693287165387358</v>
      </c>
      <c r="O73" s="54">
        <v>4.0333333333333341</v>
      </c>
      <c r="P73" s="54">
        <f>_xlfn.STDEV.S(C58:C60)</f>
        <v>1.5275252316519529E-2</v>
      </c>
      <c r="Q73" s="54">
        <v>31.399999999999995</v>
      </c>
      <c r="R73" s="54">
        <f>_xlfn.STDEV.S(D58:D60)</f>
        <v>1.5394804318340616</v>
      </c>
    </row>
    <row r="74" spans="12:21" x14ac:dyDescent="0.35">
      <c r="L74">
        <v>96</v>
      </c>
      <c r="M74" s="54">
        <v>6.5</v>
      </c>
      <c r="N74" s="54"/>
      <c r="O74" s="54">
        <v>4.0666666666666664</v>
      </c>
      <c r="P74" s="54">
        <f>_xlfn.STDEV.S(C62:C64)</f>
        <v>3.055050463303877E-2</v>
      </c>
      <c r="Q74" s="54">
        <v>30.566666666666666</v>
      </c>
      <c r="R74" s="54">
        <f>_xlfn.STDEV.S(D62:D64)</f>
        <v>0.30550504633038827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01463-F078-4503-B891-08D092F125D8}">
  <dimension ref="A1:R62"/>
  <sheetViews>
    <sheetView zoomScale="70" zoomScaleNormal="70" workbookViewId="0">
      <selection activeCell="N10" sqref="N10"/>
    </sheetView>
  </sheetViews>
  <sheetFormatPr defaultRowHeight="14.5" x14ac:dyDescent="0.35"/>
  <cols>
    <col min="13" max="13" width="9.81640625" bestFit="1" customWidth="1"/>
  </cols>
  <sheetData>
    <row r="1" spans="1:16" ht="18.5" x14ac:dyDescent="0.45">
      <c r="A1" s="2" t="s">
        <v>25</v>
      </c>
    </row>
    <row r="3" spans="1:16" x14ac:dyDescent="0.35">
      <c r="A3" t="s">
        <v>38</v>
      </c>
      <c r="E3" s="6"/>
    </row>
    <row r="4" spans="1:16" x14ac:dyDescent="0.35">
      <c r="E4" s="9" t="s">
        <v>14</v>
      </c>
    </row>
    <row r="5" spans="1:16" ht="15" thickBot="1" x14ac:dyDescent="0.4">
      <c r="A5" s="5" t="s">
        <v>10</v>
      </c>
      <c r="B5" s="4" t="s">
        <v>2</v>
      </c>
      <c r="C5" s="4" t="s">
        <v>5</v>
      </c>
      <c r="D5" s="5" t="s">
        <v>6</v>
      </c>
      <c r="E5" s="10">
        <v>-7</v>
      </c>
      <c r="F5" s="5">
        <v>-6</v>
      </c>
      <c r="G5" s="5">
        <v>-5</v>
      </c>
      <c r="H5" s="5">
        <v>-4</v>
      </c>
      <c r="I5" s="5">
        <v>-3</v>
      </c>
      <c r="J5" s="5">
        <v>-2</v>
      </c>
      <c r="K5" s="10" t="s">
        <v>16</v>
      </c>
      <c r="L5" s="5"/>
      <c r="M5" s="3"/>
      <c r="N5" s="33" t="s">
        <v>18</v>
      </c>
      <c r="O5" s="18"/>
      <c r="P5" s="18"/>
    </row>
    <row r="6" spans="1:16" ht="15" thickTop="1" x14ac:dyDescent="0.35">
      <c r="A6" t="s">
        <v>7</v>
      </c>
      <c r="B6" s="1">
        <v>0</v>
      </c>
      <c r="C6" s="1">
        <v>6.17</v>
      </c>
      <c r="D6" s="1">
        <f>(27.4-20.6)</f>
        <v>6.7999999999999972</v>
      </c>
      <c r="E6" s="12"/>
      <c r="F6" s="7"/>
      <c r="G6" s="7"/>
      <c r="H6" s="7"/>
      <c r="I6" s="7"/>
      <c r="J6" s="7"/>
      <c r="K6" s="12"/>
      <c r="L6" s="7"/>
      <c r="N6" s="57"/>
    </row>
    <row r="7" spans="1:16" x14ac:dyDescent="0.35">
      <c r="A7" t="s">
        <v>8</v>
      </c>
      <c r="B7" s="1">
        <v>0</v>
      </c>
      <c r="C7" s="1">
        <v>6.31</v>
      </c>
      <c r="D7" s="1">
        <f>(13.8-7.2)</f>
        <v>6.6000000000000005</v>
      </c>
      <c r="E7" s="12"/>
      <c r="F7" s="7"/>
      <c r="G7" s="7"/>
      <c r="H7" s="7"/>
      <c r="I7" s="7"/>
      <c r="J7" s="7"/>
      <c r="K7" s="12"/>
      <c r="L7" s="7"/>
      <c r="N7" s="57"/>
    </row>
    <row r="8" spans="1:16" x14ac:dyDescent="0.35">
      <c r="A8" t="s">
        <v>43</v>
      </c>
      <c r="B8" s="1">
        <v>0</v>
      </c>
      <c r="C8" s="1">
        <v>6.15</v>
      </c>
      <c r="D8" s="1">
        <f>(20.6-13.8)</f>
        <v>6.8000000000000007</v>
      </c>
      <c r="E8" s="12"/>
      <c r="F8" s="7"/>
      <c r="G8" s="7"/>
      <c r="H8" s="7"/>
      <c r="I8" s="7"/>
      <c r="J8" s="7"/>
      <c r="K8" s="12"/>
      <c r="L8" s="7"/>
      <c r="N8" s="57"/>
    </row>
    <row r="9" spans="1:16" ht="15" thickBot="1" x14ac:dyDescent="0.4">
      <c r="B9" s="1"/>
      <c r="C9" s="1"/>
      <c r="D9" s="1"/>
      <c r="E9" s="12"/>
      <c r="F9" s="7"/>
      <c r="G9">
        <v>2</v>
      </c>
      <c r="H9">
        <v>28</v>
      </c>
      <c r="I9" s="7"/>
      <c r="J9" s="7"/>
      <c r="K9" s="12">
        <f>(G9*P12)/P16</f>
        <v>10000000</v>
      </c>
      <c r="L9" s="7"/>
      <c r="M9">
        <f>(H9*P14)/P16</f>
        <v>14000000</v>
      </c>
      <c r="N9" s="36">
        <f>AVERAGE(K9:M9)</f>
        <v>12000000</v>
      </c>
    </row>
    <row r="10" spans="1:16" ht="15" thickTop="1" x14ac:dyDescent="0.35">
      <c r="A10" s="1" t="s">
        <v>26</v>
      </c>
      <c r="B10" s="1">
        <v>24</v>
      </c>
      <c r="C10" s="1">
        <v>3.97</v>
      </c>
      <c r="D10" s="1">
        <f>(24-0.2)</f>
        <v>23.8</v>
      </c>
      <c r="E10" s="9">
        <v>15</v>
      </c>
      <c r="F10">
        <v>93</v>
      </c>
      <c r="K10" s="13">
        <f>(E10*P10/P16)</f>
        <v>7500000000</v>
      </c>
      <c r="L10" s="14"/>
      <c r="M10" s="14">
        <f>(F10*$P$11)/$P$16</f>
        <v>4650000000</v>
      </c>
      <c r="N10" s="34">
        <f>K10</f>
        <v>7500000000</v>
      </c>
      <c r="O10" s="8">
        <v>-7</v>
      </c>
      <c r="P10" s="22">
        <v>10000000</v>
      </c>
    </row>
    <row r="11" spans="1:16" x14ac:dyDescent="0.35">
      <c r="A11" s="1" t="s">
        <v>27</v>
      </c>
      <c r="B11" s="1">
        <v>24</v>
      </c>
      <c r="C11" s="1">
        <v>4.0199999999999996</v>
      </c>
      <c r="D11" s="1">
        <f>23.5-0.2</f>
        <v>23.3</v>
      </c>
      <c r="E11" s="9">
        <v>7</v>
      </c>
      <c r="F11" s="1">
        <v>74</v>
      </c>
      <c r="K11" s="13">
        <f>(E11*P10/P16)</f>
        <v>3500000000</v>
      </c>
      <c r="L11" s="14"/>
      <c r="M11" s="14">
        <f t="shared" ref="M11:M12" si="0">(F11*$P$11)/$P$16</f>
        <v>3700000000</v>
      </c>
      <c r="N11" s="34">
        <f t="shared" ref="N11:N12" si="1">K11</f>
        <v>3500000000</v>
      </c>
      <c r="O11" s="8">
        <v>-6</v>
      </c>
      <c r="P11" s="23">
        <v>1000000</v>
      </c>
    </row>
    <row r="12" spans="1:16" x14ac:dyDescent="0.35">
      <c r="A12" s="1" t="s">
        <v>28</v>
      </c>
      <c r="B12" s="1">
        <v>24</v>
      </c>
      <c r="C12" s="1">
        <v>4</v>
      </c>
      <c r="D12" s="1">
        <f>(25-0.4)+2.8</f>
        <v>27.400000000000002</v>
      </c>
      <c r="E12" s="9">
        <v>10</v>
      </c>
      <c r="F12" s="1">
        <v>90</v>
      </c>
      <c r="K12" s="13">
        <f>(E12*P10/P16)</f>
        <v>5000000000</v>
      </c>
      <c r="L12" s="14"/>
      <c r="M12" s="14">
        <f t="shared" si="0"/>
        <v>4500000000</v>
      </c>
      <c r="N12" s="34">
        <f t="shared" si="1"/>
        <v>5000000000</v>
      </c>
      <c r="O12" s="8">
        <v>-5</v>
      </c>
      <c r="P12" s="23">
        <v>100000</v>
      </c>
    </row>
    <row r="13" spans="1:16" x14ac:dyDescent="0.35">
      <c r="A13" s="1"/>
      <c r="B13" s="1"/>
      <c r="C13" s="1"/>
      <c r="D13" s="1"/>
      <c r="E13" s="9"/>
      <c r="G13">
        <v>3</v>
      </c>
      <c r="H13">
        <v>23</v>
      </c>
      <c r="K13" s="13">
        <f>(G13*P12)/P16</f>
        <v>15000000</v>
      </c>
      <c r="L13" s="14"/>
      <c r="M13" s="14">
        <f>(H13*P14)/P16</f>
        <v>11500000</v>
      </c>
      <c r="N13" s="35">
        <f>AVERAGE(K13:M13)</f>
        <v>13250000</v>
      </c>
      <c r="O13" s="8"/>
      <c r="P13" s="23"/>
    </row>
    <row r="14" spans="1:16" x14ac:dyDescent="0.35">
      <c r="A14" s="1" t="s">
        <v>29</v>
      </c>
      <c r="B14" s="1">
        <v>48</v>
      </c>
      <c r="C14" s="1">
        <v>4.04</v>
      </c>
      <c r="D14" s="1">
        <f>(25-0.3)+3.5</f>
        <v>28.2</v>
      </c>
      <c r="E14" s="11"/>
      <c r="F14" s="1">
        <v>1</v>
      </c>
      <c r="G14" s="1">
        <v>46</v>
      </c>
      <c r="K14" s="13">
        <f>(F14*$P$11)/$P$16</f>
        <v>50000000</v>
      </c>
      <c r="L14" s="14"/>
      <c r="M14" s="14">
        <f>(G14*$P$12)/$P$16</f>
        <v>230000000</v>
      </c>
      <c r="N14" s="35">
        <f t="shared" ref="N14:N23" si="2">AVERAGE(K14:M14)</f>
        <v>140000000</v>
      </c>
      <c r="O14" s="8">
        <v>-4</v>
      </c>
      <c r="P14" s="23">
        <v>10000</v>
      </c>
    </row>
    <row r="15" spans="1:16" x14ac:dyDescent="0.35">
      <c r="A15" s="1" t="s">
        <v>30</v>
      </c>
      <c r="B15" s="1">
        <v>48</v>
      </c>
      <c r="C15" s="1">
        <v>4.0599999999999996</v>
      </c>
      <c r="D15" s="1">
        <f>24.9+2.6</f>
        <v>27.5</v>
      </c>
      <c r="E15" s="9"/>
      <c r="F15" s="1">
        <v>4</v>
      </c>
      <c r="G15" s="1">
        <v>19</v>
      </c>
      <c r="H15" s="1">
        <v>10</v>
      </c>
      <c r="K15" s="13">
        <f t="shared" ref="K15:K16" si="3">(F15*$P$11)/$P$16</f>
        <v>200000000</v>
      </c>
      <c r="L15" s="14"/>
      <c r="M15" s="14">
        <f t="shared" ref="M15:M16" si="4">(G15*$P$12)/$P$16</f>
        <v>95000000</v>
      </c>
      <c r="N15" s="35">
        <f>AVERAGE(K15:M15)</f>
        <v>147500000</v>
      </c>
      <c r="O15" s="8">
        <v>-3</v>
      </c>
      <c r="P15" s="23">
        <v>1000</v>
      </c>
    </row>
    <row r="16" spans="1:16" ht="15" thickBot="1" x14ac:dyDescent="0.4">
      <c r="A16" s="1" t="s">
        <v>31</v>
      </c>
      <c r="B16" s="1">
        <v>48</v>
      </c>
      <c r="C16" s="1">
        <v>4</v>
      </c>
      <c r="D16" s="1">
        <f>24.9+3.9</f>
        <v>28.799999999999997</v>
      </c>
      <c r="E16" s="9"/>
      <c r="F16" s="1">
        <v>16</v>
      </c>
      <c r="G16" s="1">
        <v>80</v>
      </c>
      <c r="K16" s="13">
        <f t="shared" si="3"/>
        <v>800000000</v>
      </c>
      <c r="L16" s="14"/>
      <c r="M16" s="14">
        <f t="shared" si="4"/>
        <v>400000000</v>
      </c>
      <c r="N16" s="35">
        <f t="shared" si="2"/>
        <v>600000000</v>
      </c>
      <c r="O16" s="24" t="s">
        <v>17</v>
      </c>
      <c r="P16" s="25">
        <v>0.02</v>
      </c>
    </row>
    <row r="17" spans="1:18" ht="15" thickTop="1" x14ac:dyDescent="0.35">
      <c r="A17" s="1"/>
      <c r="B17" s="1"/>
      <c r="C17" s="1"/>
      <c r="D17" s="1"/>
      <c r="E17" s="9"/>
      <c r="G17">
        <v>3</v>
      </c>
      <c r="H17">
        <v>23</v>
      </c>
      <c r="K17" s="13">
        <f>(G17*P12)/P16</f>
        <v>15000000</v>
      </c>
      <c r="L17" s="14"/>
      <c r="M17" s="14">
        <f>(H17*P14)/P16</f>
        <v>11500000</v>
      </c>
      <c r="N17" s="35">
        <f t="shared" si="2"/>
        <v>13250000</v>
      </c>
      <c r="O17" s="8"/>
      <c r="P17" s="1"/>
    </row>
    <row r="18" spans="1:18" x14ac:dyDescent="0.35">
      <c r="A18" s="1" t="s">
        <v>37</v>
      </c>
      <c r="B18" s="1">
        <v>72</v>
      </c>
      <c r="C18" s="1">
        <v>4.0999999999999996</v>
      </c>
      <c r="D18" s="1">
        <f>24.9+2.5</f>
        <v>27.4</v>
      </c>
      <c r="E18" s="9"/>
      <c r="F18">
        <v>1</v>
      </c>
      <c r="G18" s="1">
        <v>3</v>
      </c>
      <c r="H18" s="1">
        <v>30</v>
      </c>
      <c r="K18" s="13">
        <f>(G18*P12)/P16</f>
        <v>15000000</v>
      </c>
      <c r="L18" s="14"/>
      <c r="M18" s="14">
        <f>(H18*P14)/P16</f>
        <v>15000000</v>
      </c>
      <c r="N18" s="35">
        <f t="shared" si="2"/>
        <v>15000000</v>
      </c>
      <c r="O18" s="17"/>
    </row>
    <row r="19" spans="1:18" x14ac:dyDescent="0.35">
      <c r="A19" s="1" t="s">
        <v>32</v>
      </c>
      <c r="B19" s="1">
        <v>72</v>
      </c>
      <c r="C19" s="1">
        <v>4.04</v>
      </c>
      <c r="D19" s="1">
        <f>24.9+3.5</f>
        <v>28.4</v>
      </c>
      <c r="E19" s="9"/>
      <c r="G19">
        <v>1</v>
      </c>
      <c r="H19">
        <v>8</v>
      </c>
      <c r="I19">
        <v>44</v>
      </c>
      <c r="K19" s="14">
        <f>(H19*P14)/P16</f>
        <v>4000000</v>
      </c>
      <c r="L19" s="14"/>
      <c r="M19">
        <f>(I19*P15)/P16</f>
        <v>2200000</v>
      </c>
      <c r="N19" s="35">
        <f t="shared" si="2"/>
        <v>3100000</v>
      </c>
      <c r="O19" s="17"/>
    </row>
    <row r="20" spans="1:18" x14ac:dyDescent="0.35">
      <c r="A20" s="1" t="s">
        <v>33</v>
      </c>
      <c r="B20" s="1">
        <v>72</v>
      </c>
      <c r="C20" s="1">
        <v>4.0199999999999996</v>
      </c>
      <c r="D20" s="1">
        <f>24.8+2.2</f>
        <v>27</v>
      </c>
      <c r="E20" s="9"/>
      <c r="H20">
        <v>14</v>
      </c>
      <c r="I20">
        <v>57</v>
      </c>
      <c r="K20" s="13">
        <f>(H20*P14)/P16</f>
        <v>7000000</v>
      </c>
      <c r="L20" s="14"/>
      <c r="M20" s="14">
        <f>(I20*P15)/P16</f>
        <v>2850000</v>
      </c>
      <c r="N20" s="35">
        <f t="shared" si="2"/>
        <v>4925000</v>
      </c>
    </row>
    <row r="21" spans="1:18" x14ac:dyDescent="0.35">
      <c r="A21" s="1"/>
      <c r="B21" s="1"/>
      <c r="C21" s="1"/>
      <c r="D21" s="1"/>
      <c r="E21" s="9"/>
      <c r="G21">
        <v>2</v>
      </c>
      <c r="H21">
        <v>24</v>
      </c>
      <c r="K21" s="13">
        <f>(G21*P12)/P16</f>
        <v>10000000</v>
      </c>
      <c r="L21" s="14"/>
      <c r="M21" s="14">
        <f>(H21*P14)/P16</f>
        <v>12000000</v>
      </c>
      <c r="N21" s="35">
        <f t="shared" si="2"/>
        <v>11000000</v>
      </c>
    </row>
    <row r="22" spans="1:18" x14ac:dyDescent="0.35">
      <c r="A22" s="1" t="s">
        <v>34</v>
      </c>
      <c r="B22" s="1">
        <v>96</v>
      </c>
      <c r="C22" s="1">
        <v>3.94</v>
      </c>
      <c r="D22" s="1">
        <f>24.7+4.1</f>
        <v>28.799999999999997</v>
      </c>
      <c r="E22" s="9"/>
      <c r="I22">
        <v>2</v>
      </c>
      <c r="J22">
        <v>34</v>
      </c>
      <c r="K22" s="13">
        <f>(I22*$P$15)/$P$16</f>
        <v>100000</v>
      </c>
      <c r="L22" s="14"/>
      <c r="M22" s="14">
        <f>(J22*100)/$P$16</f>
        <v>170000</v>
      </c>
      <c r="N22" s="35">
        <f t="shared" si="2"/>
        <v>135000</v>
      </c>
    </row>
    <row r="23" spans="1:18" x14ac:dyDescent="0.35">
      <c r="A23" s="1" t="s">
        <v>35</v>
      </c>
      <c r="B23" s="1">
        <v>96</v>
      </c>
      <c r="C23" s="1">
        <v>4.0599999999999996</v>
      </c>
      <c r="D23" s="1">
        <f>24.8+3.8</f>
        <v>28.6</v>
      </c>
      <c r="E23" s="9"/>
      <c r="I23">
        <v>4</v>
      </c>
      <c r="J23">
        <v>44</v>
      </c>
      <c r="K23" s="13">
        <f t="shared" ref="K23:K24" si="5">(I23*$P$15)/$P$16</f>
        <v>200000</v>
      </c>
      <c r="L23" s="14"/>
      <c r="M23" s="14">
        <f t="shared" ref="M23:M24" si="6">(J23*100)/$P$16</f>
        <v>220000</v>
      </c>
      <c r="N23" s="35">
        <f t="shared" si="2"/>
        <v>210000</v>
      </c>
    </row>
    <row r="24" spans="1:18" x14ac:dyDescent="0.35">
      <c r="A24" s="1" t="s">
        <v>36</v>
      </c>
      <c r="B24" s="1">
        <v>96</v>
      </c>
      <c r="C24" s="1">
        <v>3.99</v>
      </c>
      <c r="D24" s="1">
        <f>24.9+7.3</f>
        <v>32.199999999999996</v>
      </c>
      <c r="E24" s="9"/>
      <c r="I24">
        <v>3</v>
      </c>
      <c r="J24">
        <v>26</v>
      </c>
      <c r="K24" s="13">
        <f t="shared" si="5"/>
        <v>150000</v>
      </c>
      <c r="L24" s="14"/>
      <c r="M24" s="14">
        <f t="shared" si="6"/>
        <v>130000</v>
      </c>
      <c r="N24" s="35">
        <f>AVERAGE(K24:M24)</f>
        <v>140000</v>
      </c>
    </row>
    <row r="26" spans="1:18" ht="15" thickBot="1" x14ac:dyDescent="0.4">
      <c r="F26" s="53" t="s">
        <v>41</v>
      </c>
    </row>
    <row r="27" spans="1:18" x14ac:dyDescent="0.35">
      <c r="F27" s="48" t="s">
        <v>2</v>
      </c>
      <c r="G27" s="42"/>
      <c r="H27" s="42"/>
      <c r="I27" s="42"/>
      <c r="J27" s="42"/>
      <c r="K27" s="56" t="s">
        <v>18</v>
      </c>
      <c r="L27" s="7"/>
      <c r="M27" s="7" t="s">
        <v>40</v>
      </c>
      <c r="N27" t="s">
        <v>46</v>
      </c>
      <c r="O27" s="7" t="s">
        <v>5</v>
      </c>
      <c r="P27" s="7" t="s">
        <v>45</v>
      </c>
      <c r="Q27" s="7" t="s">
        <v>42</v>
      </c>
      <c r="R27" s="7" t="s">
        <v>44</v>
      </c>
    </row>
    <row r="28" spans="1:18" x14ac:dyDescent="0.35">
      <c r="F28" s="49">
        <v>0</v>
      </c>
      <c r="G28" s="14">
        <v>12000000</v>
      </c>
      <c r="H28" s="14">
        <v>13250000</v>
      </c>
      <c r="I28" s="14">
        <v>13250000</v>
      </c>
      <c r="J28" s="14">
        <v>11000000</v>
      </c>
      <c r="K28" s="51">
        <f>AVERAGE(G28:J28)</f>
        <v>12375000</v>
      </c>
      <c r="L28" s="14"/>
      <c r="M28" s="54">
        <f>LOG(K28)</f>
        <v>7.0925452076056059</v>
      </c>
      <c r="N28" s="55">
        <f>_xlfn.STDEV.S(G33:J33)</f>
        <v>3.8940886360063813E-2</v>
      </c>
      <c r="O28" s="58">
        <f>AVERAGE(C6:C8)</f>
        <v>6.2100000000000009</v>
      </c>
      <c r="P28" s="55">
        <f>_xlfn.STDEV.S(C6:C8)</f>
        <v>8.7177978870813147E-2</v>
      </c>
      <c r="Q28" s="59">
        <f>AVERAGE(D6:D8)</f>
        <v>6.7333333333333334</v>
      </c>
      <c r="R28" s="55">
        <f>_xlfn.STDEV.S(D6:D8)</f>
        <v>0.11547005383792423</v>
      </c>
    </row>
    <row r="29" spans="1:18" x14ac:dyDescent="0.35">
      <c r="F29" s="49">
        <v>24</v>
      </c>
      <c r="G29">
        <v>7500000000</v>
      </c>
      <c r="H29">
        <v>3500000000</v>
      </c>
      <c r="I29">
        <v>5000000000</v>
      </c>
      <c r="K29" s="51">
        <f t="shared" ref="K29:K30" si="7">AVERAGE(G29:J29)</f>
        <v>5333333333.333333</v>
      </c>
      <c r="L29" s="14"/>
      <c r="M29" s="54">
        <f t="shared" ref="M29:M32" si="8">LOG(K29)</f>
        <v>9.7269987279362624</v>
      </c>
      <c r="N29" s="55">
        <f>_xlfn.STDEV.S(G34:I34)</f>
        <v>0.16560961112137795</v>
      </c>
      <c r="O29" s="55">
        <f>AVERAGE(C10:C12)</f>
        <v>3.9966666666666666</v>
      </c>
      <c r="P29" s="55">
        <f>_xlfn.STDEV.S(C10:C12)</f>
        <v>2.5166114784235531E-2</v>
      </c>
      <c r="Q29" s="55">
        <f>AVERAGE(D10:D12)</f>
        <v>24.833333333333332</v>
      </c>
      <c r="R29" s="55">
        <f>_xlfn.STDEV.S(D10:D12)</f>
        <v>2.2368132093076833</v>
      </c>
    </row>
    <row r="30" spans="1:18" x14ac:dyDescent="0.35">
      <c r="A30" s="7"/>
      <c r="B30" s="8"/>
      <c r="C30" s="8"/>
      <c r="D30" s="7"/>
      <c r="E30" s="7"/>
      <c r="F30" s="49">
        <v>48</v>
      </c>
      <c r="G30">
        <v>140000000</v>
      </c>
      <c r="H30">
        <v>147500000</v>
      </c>
      <c r="I30">
        <v>600000000</v>
      </c>
      <c r="K30" s="51">
        <f t="shared" si="7"/>
        <v>295833333.33333331</v>
      </c>
      <c r="L30" s="14"/>
      <c r="M30" s="54">
        <f t="shared" si="8"/>
        <v>8.47104710700747</v>
      </c>
      <c r="N30" s="55">
        <f>_xlfn.STDEV.S(G35:I35)</f>
        <v>0.35853537049989476</v>
      </c>
      <c r="O30" s="55">
        <f>AVERAGE(C14:C16)</f>
        <v>4.0333333333333332</v>
      </c>
      <c r="P30" s="55">
        <f>_xlfn.STDEV.S(C14:C16)</f>
        <v>3.0550504633038766E-2</v>
      </c>
      <c r="Q30" s="55">
        <f>AVERAGE(D14:D16)</f>
        <v>28.166666666666668</v>
      </c>
      <c r="R30" s="55">
        <f>_xlfn.STDEV.S(D14:D16)</f>
        <v>0.65064070986476985</v>
      </c>
    </row>
    <row r="31" spans="1:18" ht="15" thickBot="1" x14ac:dyDescent="0.4">
      <c r="A31" s="1"/>
      <c r="B31" s="1"/>
      <c r="C31" s="1"/>
      <c r="D31" s="1"/>
      <c r="F31" s="49">
        <v>72</v>
      </c>
      <c r="G31" s="14">
        <v>15000000</v>
      </c>
      <c r="H31" s="14">
        <v>3100000</v>
      </c>
      <c r="I31" s="50">
        <v>4925000</v>
      </c>
      <c r="K31" s="51">
        <f>AVERAGE(G31:J31)</f>
        <v>7675000</v>
      </c>
      <c r="L31" s="14"/>
      <c r="M31" s="54">
        <f t="shared" si="8"/>
        <v>6.8850783841492245</v>
      </c>
      <c r="N31" s="55">
        <f>_xlfn.STDEV.S(G36:I36)</f>
        <v>0.35195281113870619</v>
      </c>
      <c r="O31" s="55">
        <f>AVERAGE(C18:C20)</f>
        <v>4.0533333333333337</v>
      </c>
      <c r="P31" s="55">
        <f>_xlfn.STDEV.S(C18:C20)</f>
        <v>4.1633319989322619E-2</v>
      </c>
      <c r="Q31" s="55">
        <f>AVERAGE(D18:D20)</f>
        <v>27.599999999999998</v>
      </c>
      <c r="R31" s="55">
        <f>_xlfn.STDEV.S(D18:D20)</f>
        <v>0.72111025509279725</v>
      </c>
    </row>
    <row r="32" spans="1:18" x14ac:dyDescent="0.35">
      <c r="A32" s="1"/>
      <c r="B32" s="1"/>
      <c r="C32" s="1"/>
      <c r="D32" s="1"/>
      <c r="F32" s="49">
        <v>96</v>
      </c>
      <c r="G32" s="14">
        <v>135000</v>
      </c>
      <c r="H32" s="14">
        <v>210000</v>
      </c>
      <c r="I32" s="14">
        <v>140000</v>
      </c>
      <c r="K32" s="51">
        <f>AVERAGE(G32:J32)</f>
        <v>161666.66666666666</v>
      </c>
      <c r="L32" s="14"/>
      <c r="M32" s="54">
        <f t="shared" si="8"/>
        <v>5.2086204838826013</v>
      </c>
      <c r="N32" s="55">
        <f>_xlfn.STDEV.S(G37:I37)</f>
        <v>0.1065188915730092</v>
      </c>
      <c r="O32" s="55">
        <f>AVERAGE(C22:C24)</f>
        <v>3.9966666666666666</v>
      </c>
      <c r="P32" s="55">
        <f>_xlfn.STDEV.S(C22:C24)</f>
        <v>6.0277137733416891E-2</v>
      </c>
      <c r="Q32" s="55">
        <f>AVERAGE(D22:D24)</f>
        <v>29.866666666666664</v>
      </c>
      <c r="R32" s="55">
        <f>_xlfn.STDEV.S(D22:D24)</f>
        <v>2.0231987873991337</v>
      </c>
    </row>
    <row r="33" spans="1:18" x14ac:dyDescent="0.35">
      <c r="A33" s="1"/>
      <c r="B33" s="1"/>
      <c r="C33" s="1"/>
      <c r="D33" s="1"/>
      <c r="F33" s="60">
        <v>0</v>
      </c>
      <c r="G33" s="62">
        <f>LOG(G28)</f>
        <v>7.0791812460476251</v>
      </c>
      <c r="H33" s="62">
        <f>LOG(H28)</f>
        <v>7.1222158782728267</v>
      </c>
      <c r="I33" s="62">
        <f>LOG(I28)</f>
        <v>7.1222158782728267</v>
      </c>
      <c r="J33" s="62">
        <f>LOG(J28)</f>
        <v>7.0413926851582254</v>
      </c>
      <c r="K33" s="61"/>
      <c r="L33" s="14"/>
      <c r="M33" s="54"/>
      <c r="O33" s="55"/>
      <c r="Q33" s="55"/>
      <c r="R33" s="1"/>
    </row>
    <row r="34" spans="1:18" x14ac:dyDescent="0.35">
      <c r="A34" s="1"/>
      <c r="B34" s="1"/>
      <c r="C34" s="1"/>
      <c r="D34" s="1"/>
      <c r="F34" s="49">
        <v>24</v>
      </c>
      <c r="G34" s="54">
        <f t="shared" ref="G34:I35" si="9">LOG(G29)</f>
        <v>9.8750612633917001</v>
      </c>
      <c r="H34" s="54">
        <f>LOG(H29)</f>
        <v>9.5440680443502757</v>
      </c>
      <c r="I34" s="54">
        <f>LOG(I29)</f>
        <v>9.6989700043360187</v>
      </c>
      <c r="K34" s="51"/>
      <c r="L34" s="14"/>
      <c r="M34" s="54"/>
      <c r="O34" s="55"/>
      <c r="Q34" s="55"/>
      <c r="R34" s="1"/>
    </row>
    <row r="35" spans="1:18" x14ac:dyDescent="0.35">
      <c r="A35" s="1"/>
      <c r="B35" s="1"/>
      <c r="C35" s="1"/>
      <c r="D35" s="1"/>
      <c r="F35" s="49">
        <v>48</v>
      </c>
      <c r="G35" s="54">
        <f t="shared" si="9"/>
        <v>8.1461280356782382</v>
      </c>
      <c r="H35" s="54">
        <f t="shared" si="9"/>
        <v>8.1687920203141822</v>
      </c>
      <c r="I35" s="54">
        <f t="shared" si="9"/>
        <v>8.7781512503836439</v>
      </c>
      <c r="K35" s="51"/>
      <c r="L35" s="14"/>
      <c r="M35" s="54"/>
      <c r="O35" s="55"/>
      <c r="Q35" s="55"/>
      <c r="R35" s="1"/>
    </row>
    <row r="36" spans="1:18" x14ac:dyDescent="0.35">
      <c r="A36" s="1"/>
      <c r="B36" s="1"/>
      <c r="C36" s="1"/>
      <c r="D36" s="1"/>
      <c r="F36" s="49">
        <v>72</v>
      </c>
      <c r="G36" s="54">
        <f>LOG(G31)</f>
        <v>7.1760912590556813</v>
      </c>
      <c r="H36" s="54">
        <f t="shared" ref="H36:I37" si="10">LOG(H31)</f>
        <v>6.4913616938342731</v>
      </c>
      <c r="I36" s="54">
        <f t="shared" si="10"/>
        <v>6.6924062348336308</v>
      </c>
      <c r="K36" s="51"/>
      <c r="L36" s="14"/>
      <c r="M36" s="54"/>
      <c r="O36" s="55"/>
      <c r="Q36" s="55"/>
      <c r="R36" s="1"/>
    </row>
    <row r="37" spans="1:18" ht="15" thickBot="1" x14ac:dyDescent="0.4">
      <c r="A37" s="1"/>
      <c r="B37" s="1"/>
      <c r="C37" s="1"/>
      <c r="D37" s="1"/>
      <c r="F37" s="45">
        <v>96</v>
      </c>
      <c r="G37" s="54">
        <f>LOG(G32)</f>
        <v>5.1303337684950066</v>
      </c>
      <c r="H37" s="54">
        <f t="shared" si="10"/>
        <v>5.3222192947339195</v>
      </c>
      <c r="I37" s="54">
        <f t="shared" si="10"/>
        <v>5.1461280356782382</v>
      </c>
      <c r="J37" s="46"/>
      <c r="K37" s="47"/>
      <c r="M37" s="14"/>
      <c r="N37" s="14"/>
      <c r="O37" s="8"/>
      <c r="P37" s="1"/>
    </row>
    <row r="38" spans="1:18" ht="15" thickBot="1" x14ac:dyDescent="0.4">
      <c r="A38" s="1"/>
      <c r="B38" s="1"/>
      <c r="C38" s="1"/>
      <c r="D38" s="1"/>
      <c r="E38" s="1"/>
      <c r="F38" s="52" t="s">
        <v>1</v>
      </c>
      <c r="K38" s="14"/>
      <c r="L38" s="14"/>
      <c r="M38" s="14"/>
      <c r="N38" s="14"/>
      <c r="O38" s="8"/>
      <c r="P38" s="1"/>
    </row>
    <row r="39" spans="1:18" x14ac:dyDescent="0.35">
      <c r="A39" s="1"/>
      <c r="B39" s="1"/>
      <c r="C39" s="1"/>
      <c r="D39" s="1"/>
      <c r="F39" s="48" t="s">
        <v>2</v>
      </c>
      <c r="G39" s="42"/>
      <c r="H39" s="42"/>
      <c r="I39" s="42"/>
      <c r="J39" s="42"/>
      <c r="K39" s="43" t="s">
        <v>18</v>
      </c>
      <c r="M39" s="7" t="s">
        <v>40</v>
      </c>
      <c r="N39" t="s">
        <v>46</v>
      </c>
      <c r="O39" s="7" t="s">
        <v>5</v>
      </c>
      <c r="P39" s="7" t="s">
        <v>45</v>
      </c>
      <c r="Q39" s="7" t="s">
        <v>42</v>
      </c>
      <c r="R39" s="7" t="s">
        <v>44</v>
      </c>
    </row>
    <row r="40" spans="1:18" x14ac:dyDescent="0.35">
      <c r="A40" s="1"/>
      <c r="B40" s="1"/>
      <c r="C40" s="1"/>
      <c r="D40" s="1"/>
      <c r="F40" s="49">
        <v>0</v>
      </c>
      <c r="G40" s="14">
        <v>12500000</v>
      </c>
      <c r="H40" s="14">
        <v>9250000</v>
      </c>
      <c r="I40" s="14">
        <v>7000000</v>
      </c>
      <c r="J40" s="14">
        <v>12000000</v>
      </c>
      <c r="K40" s="51">
        <f>AVERAGE(G40:J40)</f>
        <v>10187500</v>
      </c>
      <c r="L40" s="14"/>
      <c r="M40" s="55">
        <v>7.0080676217480331</v>
      </c>
      <c r="N40" s="55">
        <f>_xlfn.STDEV.S(G45:J45)</f>
        <v>0.11656485194582986</v>
      </c>
      <c r="O40" s="55">
        <v>6.4116666666666662</v>
      </c>
      <c r="P40" s="55">
        <v>5.1153364177409559E-2</v>
      </c>
      <c r="Q40" s="55">
        <v>3.7666666666666671</v>
      </c>
      <c r="R40" s="55">
        <v>0.42268979957726227</v>
      </c>
    </row>
    <row r="41" spans="1:18" x14ac:dyDescent="0.35">
      <c r="F41" s="49">
        <v>24</v>
      </c>
      <c r="G41" s="14">
        <v>5650000000</v>
      </c>
      <c r="H41" s="14">
        <v>4250000000</v>
      </c>
      <c r="I41" s="14">
        <v>3325000000</v>
      </c>
      <c r="J41" s="14"/>
      <c r="K41" s="51">
        <f t="shared" ref="K41:K43" si="11">AVERAGE(G41:J41)</f>
        <v>4408333333.333333</v>
      </c>
      <c r="L41" s="14"/>
      <c r="M41" s="55">
        <v>9.644274425987561</v>
      </c>
      <c r="N41" s="55">
        <f>_xlfn.STDEV.S(G46:I46)</f>
        <v>0.11523371152734566</v>
      </c>
      <c r="O41" s="55">
        <v>4.1933333333333342</v>
      </c>
      <c r="P41" s="55">
        <v>2.5166114784235707E-2</v>
      </c>
      <c r="Q41" s="55">
        <v>29.266666666666669</v>
      </c>
      <c r="R41" s="55">
        <v>0.65064070986476985</v>
      </c>
    </row>
    <row r="42" spans="1:18" x14ac:dyDescent="0.35">
      <c r="F42" s="49">
        <v>48</v>
      </c>
      <c r="G42" s="14">
        <v>875000000</v>
      </c>
      <c r="H42" s="14">
        <v>2350000000</v>
      </c>
      <c r="I42" s="14">
        <v>1000000000</v>
      </c>
      <c r="J42" s="14"/>
      <c r="K42" s="51">
        <f t="shared" si="11"/>
        <v>1408333333.3333333</v>
      </c>
      <c r="L42" s="14"/>
      <c r="M42" s="55">
        <v>9.1487054585660488</v>
      </c>
      <c r="N42" s="55">
        <f>_xlfn.STDEV.S(G47:I47)</f>
        <v>0.23278987099898024</v>
      </c>
      <c r="O42" s="55">
        <v>4.1566666666666672</v>
      </c>
      <c r="P42" s="55">
        <v>5.033222956847147E-2</v>
      </c>
      <c r="Q42" s="55">
        <v>31.7</v>
      </c>
      <c r="R42" s="55">
        <v>1.0816653826391958</v>
      </c>
    </row>
    <row r="43" spans="1:18" x14ac:dyDescent="0.35">
      <c r="A43" s="6"/>
      <c r="F43" s="49">
        <v>72</v>
      </c>
      <c r="G43" s="14">
        <v>16500000</v>
      </c>
      <c r="H43" s="14">
        <v>170000000</v>
      </c>
      <c r="I43" s="14">
        <v>80000000</v>
      </c>
      <c r="J43" s="14"/>
      <c r="K43" s="51">
        <f t="shared" si="11"/>
        <v>88833333.333333328</v>
      </c>
      <c r="L43" s="14"/>
      <c r="M43" s="55">
        <v>7.9485759586429285</v>
      </c>
      <c r="N43" s="55">
        <f>_xlfn.STDEV.S(G48:I48)</f>
        <v>0.51693287165387358</v>
      </c>
      <c r="O43" s="55">
        <v>4.0333333333333341</v>
      </c>
      <c r="P43" s="55">
        <v>1.5275252316519529E-2</v>
      </c>
      <c r="Q43" s="55">
        <v>31.399999999999995</v>
      </c>
      <c r="R43" s="55">
        <v>1.5394804318340616</v>
      </c>
    </row>
    <row r="44" spans="1:18" x14ac:dyDescent="0.35">
      <c r="F44" s="49">
        <v>96</v>
      </c>
      <c r="K44" s="44"/>
      <c r="M44" s="55">
        <v>6.5</v>
      </c>
      <c r="O44" s="55">
        <v>4.0666666666666664</v>
      </c>
      <c r="P44" s="55">
        <v>3.055050463303877E-2</v>
      </c>
      <c r="Q44" s="55">
        <v>30.566666666666666</v>
      </c>
      <c r="R44" s="55">
        <v>0.30550504633038827</v>
      </c>
    </row>
    <row r="45" spans="1:18" x14ac:dyDescent="0.35">
      <c r="F45" s="49">
        <v>0</v>
      </c>
      <c r="G45" s="55">
        <f>LOG(G40)</f>
        <v>7.0969100130080562</v>
      </c>
      <c r="H45" s="55">
        <f>LOG(H40)</f>
        <v>6.9661417327390325</v>
      </c>
      <c r="I45" s="55">
        <f>LOG(I40)</f>
        <v>6.8450980400142569</v>
      </c>
      <c r="J45" s="55">
        <f>LOG(J40)</f>
        <v>7.0791812460476251</v>
      </c>
      <c r="K45" s="44"/>
      <c r="M45" s="55"/>
      <c r="O45" s="55"/>
      <c r="Q45" s="55"/>
    </row>
    <row r="46" spans="1:18" x14ac:dyDescent="0.35">
      <c r="F46" s="49">
        <v>24</v>
      </c>
      <c r="G46" s="55">
        <f t="shared" ref="G46:I48" si="12">LOG(G41)</f>
        <v>9.7520484478194387</v>
      </c>
      <c r="H46" s="55">
        <f t="shared" si="12"/>
        <v>9.6283889300503116</v>
      </c>
      <c r="I46" s="55">
        <f t="shared" si="12"/>
        <v>9.5217916496391233</v>
      </c>
      <c r="J46" s="55"/>
      <c r="K46" s="44"/>
      <c r="M46" s="55"/>
      <c r="O46" s="55"/>
      <c r="Q46" s="55"/>
    </row>
    <row r="47" spans="1:18" x14ac:dyDescent="0.35">
      <c r="F47" s="49">
        <v>48</v>
      </c>
      <c r="G47" s="55">
        <f t="shared" si="12"/>
        <v>8.9420080530223132</v>
      </c>
      <c r="H47" s="55">
        <f t="shared" si="12"/>
        <v>9.3710678622717367</v>
      </c>
      <c r="I47" s="55">
        <f t="shared" si="12"/>
        <v>9</v>
      </c>
      <c r="J47" s="55"/>
      <c r="K47" s="44"/>
      <c r="M47" s="55"/>
      <c r="O47" s="55"/>
      <c r="Q47" s="55"/>
    </row>
    <row r="48" spans="1:18" x14ac:dyDescent="0.35">
      <c r="F48" s="49">
        <v>72</v>
      </c>
      <c r="G48" s="55">
        <f t="shared" si="12"/>
        <v>7.2174839442139067</v>
      </c>
      <c r="H48" s="55">
        <f t="shared" si="12"/>
        <v>8.2304489213782741</v>
      </c>
      <c r="I48" s="55">
        <f t="shared" si="12"/>
        <v>7.9030899869919438</v>
      </c>
      <c r="J48" s="55"/>
      <c r="K48" s="44"/>
      <c r="M48" s="55"/>
      <c r="O48" s="55"/>
      <c r="Q48" s="55"/>
    </row>
    <row r="49" spans="1:16" ht="15" thickBot="1" x14ac:dyDescent="0.4">
      <c r="A49" s="7"/>
      <c r="B49" s="8"/>
      <c r="C49" s="8"/>
      <c r="D49" s="7"/>
      <c r="E49" s="7"/>
      <c r="F49" s="49">
        <v>96</v>
      </c>
      <c r="J49" s="46"/>
      <c r="K49" s="47"/>
    </row>
    <row r="50" spans="1:16" x14ac:dyDescent="0.35">
      <c r="A50" s="7"/>
      <c r="B50" s="8"/>
      <c r="C50" s="8"/>
      <c r="D50" s="7"/>
      <c r="E50" s="7"/>
      <c r="F50" s="7"/>
      <c r="G50" s="7"/>
      <c r="K50" s="14"/>
      <c r="L50" s="14"/>
      <c r="M50" s="14"/>
      <c r="N50" s="14"/>
    </row>
    <row r="51" spans="1:16" x14ac:dyDescent="0.35">
      <c r="A51" s="1"/>
      <c r="B51" s="1"/>
      <c r="C51" s="1"/>
      <c r="D51" s="1"/>
      <c r="K51" s="14"/>
      <c r="L51" s="14"/>
      <c r="M51" s="14"/>
      <c r="N51" s="14"/>
      <c r="O51" s="8"/>
      <c r="P51" s="1"/>
    </row>
    <row r="52" spans="1:16" x14ac:dyDescent="0.35">
      <c r="A52" s="1"/>
      <c r="B52" s="1"/>
      <c r="C52" s="1"/>
      <c r="D52" s="1"/>
      <c r="F52" s="1"/>
      <c r="K52" s="14"/>
      <c r="L52" s="14"/>
      <c r="M52" s="14"/>
      <c r="N52" s="14"/>
      <c r="O52" s="8"/>
      <c r="P52" s="1"/>
    </row>
    <row r="53" spans="1:16" x14ac:dyDescent="0.35">
      <c r="A53" s="1"/>
      <c r="B53" s="1"/>
      <c r="C53" s="1"/>
      <c r="D53" s="1"/>
      <c r="K53" s="14"/>
      <c r="L53" s="14"/>
      <c r="M53" s="14"/>
      <c r="N53" s="14"/>
      <c r="O53" s="8"/>
      <c r="P53" s="1"/>
    </row>
    <row r="54" spans="1:16" x14ac:dyDescent="0.35">
      <c r="A54" s="1"/>
      <c r="B54" s="1"/>
      <c r="C54" s="1"/>
      <c r="D54" s="1"/>
      <c r="E54" s="1"/>
      <c r="F54" s="1"/>
      <c r="K54" s="14"/>
      <c r="L54" s="14"/>
      <c r="M54" s="14"/>
      <c r="N54" s="14"/>
      <c r="O54" s="8"/>
      <c r="P54" s="1"/>
    </row>
    <row r="55" spans="1:16" x14ac:dyDescent="0.35">
      <c r="A55" s="1"/>
      <c r="B55" s="1"/>
      <c r="C55" s="1"/>
      <c r="D55" s="1"/>
      <c r="E55" s="1"/>
      <c r="F55" s="1"/>
      <c r="K55" s="14"/>
      <c r="L55" s="14"/>
      <c r="M55" s="14"/>
      <c r="N55" s="14"/>
      <c r="O55" s="8"/>
      <c r="P55" s="1"/>
    </row>
    <row r="56" spans="1:16" x14ac:dyDescent="0.35">
      <c r="A56" s="1"/>
      <c r="B56" s="1"/>
      <c r="C56" s="1"/>
      <c r="D56" s="1"/>
      <c r="K56" s="14"/>
      <c r="L56" s="14"/>
      <c r="M56" s="14"/>
      <c r="N56" s="14"/>
      <c r="O56" s="8"/>
      <c r="P56" s="1"/>
    </row>
    <row r="57" spans="1:16" x14ac:dyDescent="0.35">
      <c r="A57" s="1"/>
      <c r="B57" s="1"/>
      <c r="C57" s="1"/>
      <c r="D57" s="1"/>
      <c r="G57" s="1"/>
      <c r="K57" s="14"/>
      <c r="L57" s="14"/>
      <c r="M57" s="14"/>
      <c r="N57" s="14"/>
      <c r="O57" s="8"/>
      <c r="P57" s="1"/>
    </row>
    <row r="58" spans="1:16" x14ac:dyDescent="0.35">
      <c r="A58" s="1"/>
      <c r="B58" s="1"/>
      <c r="C58" s="1"/>
      <c r="D58" s="1"/>
      <c r="K58" s="14"/>
      <c r="L58" s="14"/>
      <c r="M58" s="14"/>
      <c r="N58" s="14"/>
      <c r="O58" s="17"/>
    </row>
    <row r="59" spans="1:16" x14ac:dyDescent="0.35">
      <c r="A59" s="32"/>
      <c r="B59" s="1"/>
      <c r="C59" s="1"/>
      <c r="D59" s="1"/>
      <c r="K59" s="14"/>
      <c r="L59" s="14"/>
      <c r="M59" s="14"/>
      <c r="N59" s="14"/>
      <c r="O59" s="17"/>
    </row>
    <row r="60" spans="1:16" x14ac:dyDescent="0.35">
      <c r="A60" s="1"/>
      <c r="B60" s="1"/>
      <c r="C60" s="1"/>
      <c r="D60" s="1"/>
      <c r="K60" s="14"/>
      <c r="L60" s="14"/>
      <c r="M60" s="14"/>
      <c r="N60" s="14"/>
    </row>
    <row r="61" spans="1:16" x14ac:dyDescent="0.35">
      <c r="A61" s="1"/>
      <c r="B61" s="1"/>
      <c r="C61" s="1"/>
      <c r="D61" s="1"/>
      <c r="K61" s="14"/>
      <c r="L61" s="14"/>
      <c r="M61" s="14"/>
      <c r="N61" s="14"/>
    </row>
    <row r="62" spans="1:16" x14ac:dyDescent="0.35">
      <c r="A62" s="1"/>
      <c r="B62" s="1"/>
      <c r="C62" s="1"/>
      <c r="D62" s="1"/>
      <c r="G62" s="1"/>
      <c r="K62" s="14"/>
      <c r="L62" s="14"/>
      <c r="M62" s="14"/>
      <c r="N62" s="1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GREEN LENTILS</vt:lpstr>
      <vt:lpstr>YELLOW PEA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Chibuike Udenigwe</cp:lastModifiedBy>
  <dcterms:created xsi:type="dcterms:W3CDTF">2019-09-11T12:27:16Z</dcterms:created>
  <dcterms:modified xsi:type="dcterms:W3CDTF">2024-09-09T05:56:41Z</dcterms:modified>
</cp:coreProperties>
</file>