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yFilesCF\Papers\2024 JAAS Linearity and Transport Eff\Submitted after review\Data included in Supplementary data COPY\"/>
    </mc:Choice>
  </mc:AlternateContent>
  <xr:revisionPtr revIDLastSave="0" documentId="8_{A38D21EE-9F09-47E3-9FBF-EE54AEEDB678}" xr6:coauthVersionLast="47" xr6:coauthVersionMax="47" xr10:uidLastSave="{00000000-0000-0000-0000-000000000000}"/>
  <bookViews>
    <workbookView xWindow="-38510" yWindow="-21710" windowWidth="38620" windowHeight="21820" firstSheet="1" activeTab="1" xr2:uid="{00000000-000D-0000-FFFF-FFFF00000000}"/>
  </bookViews>
  <sheets>
    <sheet name="_xltb_storage_" sheetId="7" state="veryHidden" r:id="rId1"/>
    <sheet name="Analog summary" sheetId="3" r:id="rId2"/>
    <sheet name="Pulse summary" sheetId="5" r:id="rId3"/>
    <sheet name="Au Matlab stats" sheetId="1" r:id="rId4"/>
    <sheet name="SiO2 Matlab stats" sheetId="4" r:id="rId5"/>
    <sheet name="Sort" sheetId="2" r:id="rId6"/>
    <sheet name="Sheet2" sheetId="6" r:id="rId7"/>
  </sheets>
  <definedNames>
    <definedName name="_xlnm._FilterDatabase" localSheetId="3" hidden="1">'Au Matlab stats'!$A$1:$I$1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3" l="1"/>
  <c r="D58" i="3" l="1"/>
  <c r="N6" i="3"/>
  <c r="G34" i="3"/>
  <c r="G30" i="3"/>
  <c r="M54" i="3"/>
  <c r="M53" i="3"/>
  <c r="M52" i="3"/>
  <c r="M51" i="3"/>
  <c r="M50" i="3"/>
  <c r="M49" i="3"/>
  <c r="M48" i="3"/>
  <c r="M47" i="3"/>
  <c r="I105" i="1" l="1"/>
  <c r="J2" i="2" s="1"/>
  <c r="I100" i="1"/>
  <c r="J3" i="2" s="1"/>
  <c r="I96" i="1"/>
  <c r="J5" i="2" s="1"/>
  <c r="I89" i="1"/>
  <c r="J25" i="2" s="1"/>
  <c r="I85" i="1"/>
  <c r="J23" i="2" s="1"/>
  <c r="I81" i="1"/>
  <c r="J24" i="2" s="1"/>
  <c r="I77" i="1"/>
  <c r="J22" i="2" s="1"/>
  <c r="I73" i="1"/>
  <c r="J21" i="2" s="1"/>
  <c r="I69" i="1"/>
  <c r="J19" i="2" s="1"/>
  <c r="I65" i="1"/>
  <c r="J20" i="2" s="1"/>
  <c r="I61" i="1"/>
  <c r="J18" i="2" s="1"/>
  <c r="I57" i="1"/>
  <c r="J27" i="2" s="1"/>
  <c r="I47" i="1"/>
  <c r="J17" i="2" s="1"/>
  <c r="I43" i="1"/>
  <c r="J15" i="2" s="1"/>
  <c r="I39" i="1"/>
  <c r="J16" i="2" s="1"/>
  <c r="I35" i="1"/>
  <c r="J14" i="2" s="1"/>
  <c r="I31" i="1"/>
  <c r="I27" i="1"/>
  <c r="O15" i="3" s="1"/>
  <c r="I17" i="1"/>
  <c r="J10" i="2" s="1"/>
  <c r="I13" i="1"/>
  <c r="J11" i="2" s="1"/>
  <c r="I9" i="1"/>
  <c r="J13" i="2" s="1"/>
  <c r="I5" i="1"/>
  <c r="J12" i="2" s="1"/>
  <c r="N2" i="4"/>
  <c r="O2" i="4"/>
  <c r="N3" i="4"/>
  <c r="O3" i="4"/>
  <c r="N4" i="4"/>
  <c r="O4" i="4"/>
  <c r="N5" i="4"/>
  <c r="O5" i="4"/>
  <c r="N6" i="4"/>
  <c r="O6" i="4"/>
  <c r="N7" i="4"/>
  <c r="O7" i="4"/>
  <c r="N8" i="4"/>
  <c r="O8" i="4"/>
  <c r="N9" i="4"/>
  <c r="O9" i="4"/>
  <c r="N10" i="4"/>
  <c r="O10" i="4"/>
  <c r="E37" i="4"/>
  <c r="D37" i="4"/>
  <c r="E33" i="4"/>
  <c r="D33" i="4"/>
  <c r="E29" i="4"/>
  <c r="D29" i="4"/>
  <c r="E25" i="4"/>
  <c r="D25" i="4"/>
  <c r="E21" i="4"/>
  <c r="D21" i="4"/>
  <c r="E17" i="4"/>
  <c r="D17" i="4"/>
  <c r="E13" i="4"/>
  <c r="D13" i="4"/>
  <c r="E9" i="4"/>
  <c r="D9" i="4"/>
  <c r="E5" i="4"/>
  <c r="D5" i="4"/>
  <c r="I6" i="2"/>
  <c r="J6" i="2"/>
  <c r="I7" i="2"/>
  <c r="J7" i="2"/>
  <c r="I8" i="2"/>
  <c r="J8" i="2"/>
  <c r="I9" i="2"/>
  <c r="J9" i="2"/>
  <c r="I7" i="3"/>
  <c r="G54" i="5"/>
  <c r="G53" i="5"/>
  <c r="G52" i="5"/>
  <c r="G51" i="5"/>
  <c r="G50" i="5"/>
  <c r="G49" i="5"/>
  <c r="G48" i="5"/>
  <c r="G46" i="5"/>
  <c r="D45" i="5"/>
  <c r="L38" i="5"/>
  <c r="M38" i="5" s="1"/>
  <c r="K38" i="5"/>
  <c r="J38" i="5"/>
  <c r="K37" i="5"/>
  <c r="L37" i="5" s="1"/>
  <c r="M37" i="5" s="1"/>
  <c r="J37" i="5"/>
  <c r="L36" i="5"/>
  <c r="M36" i="5" s="1"/>
  <c r="K36" i="5"/>
  <c r="J36" i="5"/>
  <c r="K35" i="5"/>
  <c r="J35" i="5"/>
  <c r="H35" i="5"/>
  <c r="L35" i="5" s="1"/>
  <c r="L34" i="5"/>
  <c r="M34" i="5" s="1"/>
  <c r="K34" i="5"/>
  <c r="J34" i="5"/>
  <c r="K33" i="5"/>
  <c r="L33" i="5" s="1"/>
  <c r="M33" i="5" s="1"/>
  <c r="J33" i="5"/>
  <c r="L32" i="5"/>
  <c r="M32" i="5" s="1"/>
  <c r="K32" i="5"/>
  <c r="J32" i="5"/>
  <c r="K31" i="5"/>
  <c r="L31" i="5" s="1"/>
  <c r="M31" i="5" s="1"/>
  <c r="J31" i="5"/>
  <c r="K30" i="5"/>
  <c r="L30" i="5" s="1"/>
  <c r="J30" i="5"/>
  <c r="K27" i="5"/>
  <c r="L27" i="5" s="1"/>
  <c r="M27" i="5" s="1"/>
  <c r="J27" i="5"/>
  <c r="K26" i="5"/>
  <c r="L26" i="5" s="1"/>
  <c r="M26" i="5" s="1"/>
  <c r="J26" i="5"/>
  <c r="K25" i="5"/>
  <c r="L25" i="5" s="1"/>
  <c r="M25" i="5" s="1"/>
  <c r="J25" i="5"/>
  <c r="L24" i="5"/>
  <c r="K24" i="5"/>
  <c r="J24" i="5"/>
  <c r="H24" i="5"/>
  <c r="K23" i="5"/>
  <c r="L23" i="5" s="1"/>
  <c r="M23" i="5" s="1"/>
  <c r="J23" i="5"/>
  <c r="K22" i="5"/>
  <c r="L22" i="5" s="1"/>
  <c r="M22" i="5" s="1"/>
  <c r="J22" i="5"/>
  <c r="L21" i="5"/>
  <c r="M21" i="5" s="1"/>
  <c r="K21" i="5"/>
  <c r="J21" i="5"/>
  <c r="M20" i="5"/>
  <c r="L20" i="5"/>
  <c r="K20" i="5"/>
  <c r="J20" i="5"/>
  <c r="K19" i="5"/>
  <c r="L19" i="5" s="1"/>
  <c r="J19" i="5"/>
  <c r="M16" i="5"/>
  <c r="L16" i="5"/>
  <c r="K16" i="5"/>
  <c r="K15" i="5"/>
  <c r="L15" i="5" s="1"/>
  <c r="M15" i="5" s="1"/>
  <c r="Z14" i="5"/>
  <c r="Y14" i="5"/>
  <c r="M14" i="5"/>
  <c r="L14" i="5"/>
  <c r="K14" i="5"/>
  <c r="Z13" i="5"/>
  <c r="Y13" i="5"/>
  <c r="K13" i="5"/>
  <c r="L13" i="5" s="1"/>
  <c r="Y12" i="5"/>
  <c r="Z12" i="5" s="1"/>
  <c r="M12" i="5"/>
  <c r="L12" i="5"/>
  <c r="K12" i="5"/>
  <c r="Y11" i="5"/>
  <c r="Z11" i="5" s="1"/>
  <c r="L11" i="5"/>
  <c r="K11" i="5"/>
  <c r="Z10" i="5"/>
  <c r="Y10" i="5"/>
  <c r="L10" i="5"/>
  <c r="K10" i="5"/>
  <c r="Z6" i="5"/>
  <c r="Y6" i="5"/>
  <c r="K6" i="5"/>
  <c r="L6" i="5" s="1"/>
  <c r="M6" i="5" s="1"/>
  <c r="Z5" i="5"/>
  <c r="Y5" i="5"/>
  <c r="K5" i="5"/>
  <c r="L5" i="5" s="1"/>
  <c r="Y4" i="5"/>
  <c r="Z4" i="5" s="1"/>
  <c r="L4" i="5"/>
  <c r="M4" i="5" s="1"/>
  <c r="K4" i="5"/>
  <c r="Z3" i="5"/>
  <c r="Y3" i="5"/>
  <c r="K3" i="5"/>
  <c r="L3" i="5" s="1"/>
  <c r="M3" i="5" s="1"/>
  <c r="Y2" i="5"/>
  <c r="Z2" i="5" s="1"/>
  <c r="M2" i="5"/>
  <c r="L2" i="5"/>
  <c r="K2" i="5"/>
  <c r="O16" i="3" l="1"/>
  <c r="O14" i="3"/>
  <c r="J26" i="2"/>
  <c r="G54" i="3"/>
  <c r="G53" i="3"/>
  <c r="G51" i="3"/>
  <c r="G50" i="3"/>
  <c r="G49" i="3"/>
  <c r="G48" i="3"/>
  <c r="G46" i="3"/>
  <c r="H35" i="3"/>
  <c r="H24" i="3"/>
  <c r="K38" i="3" l="1"/>
  <c r="L38" i="3" s="1"/>
  <c r="M38" i="3" s="1"/>
  <c r="J38" i="3"/>
  <c r="K37" i="3"/>
  <c r="L37" i="3" s="1"/>
  <c r="M37" i="3" s="1"/>
  <c r="J37" i="3"/>
  <c r="K36" i="3"/>
  <c r="L36" i="3" s="1"/>
  <c r="M36" i="3" s="1"/>
  <c r="J36" i="3"/>
  <c r="K35" i="3"/>
  <c r="L35" i="3" s="1"/>
  <c r="J35" i="3"/>
  <c r="K34" i="3"/>
  <c r="L34" i="3" s="1"/>
  <c r="M34" i="3" s="1"/>
  <c r="J34" i="3"/>
  <c r="K33" i="3"/>
  <c r="L33" i="3" s="1"/>
  <c r="M33" i="3" s="1"/>
  <c r="J33" i="3"/>
  <c r="K32" i="3"/>
  <c r="L32" i="3" s="1"/>
  <c r="M32" i="3" s="1"/>
  <c r="J32" i="3"/>
  <c r="K31" i="3"/>
  <c r="L31" i="3" s="1"/>
  <c r="M31" i="3" s="1"/>
  <c r="J31" i="3"/>
  <c r="K30" i="3"/>
  <c r="L30" i="3" s="1"/>
  <c r="J30" i="3"/>
  <c r="K23" i="3"/>
  <c r="L23" i="3" s="1"/>
  <c r="M23" i="3" s="1"/>
  <c r="N23" i="3" s="1"/>
  <c r="K24" i="3"/>
  <c r="L24" i="3" s="1"/>
  <c r="K25" i="3"/>
  <c r="L25" i="3" s="1"/>
  <c r="M25" i="3" s="1"/>
  <c r="N25" i="3" s="1"/>
  <c r="K26" i="3"/>
  <c r="L26" i="3" s="1"/>
  <c r="M26" i="3" s="1"/>
  <c r="N26" i="3" s="1"/>
  <c r="K27" i="3"/>
  <c r="L27" i="3" s="1"/>
  <c r="M27" i="3" s="1"/>
  <c r="N27" i="3" s="1"/>
  <c r="J20" i="3"/>
  <c r="J21" i="3"/>
  <c r="J22" i="3"/>
  <c r="J23" i="3"/>
  <c r="J24" i="3"/>
  <c r="J25" i="3"/>
  <c r="J26" i="3"/>
  <c r="J27" i="3"/>
  <c r="J19" i="3"/>
  <c r="K22" i="3"/>
  <c r="L22" i="3" s="1"/>
  <c r="M22" i="3" s="1"/>
  <c r="N22" i="3" s="1"/>
  <c r="K21" i="3"/>
  <c r="L21" i="3" s="1"/>
  <c r="M21" i="3" s="1"/>
  <c r="N21" i="3" s="1"/>
  <c r="K20" i="3"/>
  <c r="L20" i="3" s="1"/>
  <c r="M20" i="3" s="1"/>
  <c r="N20" i="3" s="1"/>
  <c r="K19" i="3"/>
  <c r="L19" i="3" s="1"/>
  <c r="M10" i="4" l="1"/>
  <c r="M9" i="4"/>
  <c r="M8" i="4"/>
  <c r="M7" i="4"/>
  <c r="M6" i="4"/>
  <c r="M5" i="4"/>
  <c r="M4" i="4"/>
  <c r="M3" i="4"/>
  <c r="M2" i="4"/>
  <c r="L10" i="4"/>
  <c r="L9" i="4"/>
  <c r="L8" i="4"/>
  <c r="L7" i="4"/>
  <c r="L6" i="4"/>
  <c r="L5" i="4"/>
  <c r="L4" i="4"/>
  <c r="L3" i="4" l="1"/>
  <c r="L2" i="4"/>
  <c r="C37" i="4"/>
  <c r="B37" i="4"/>
  <c r="C33" i="4"/>
  <c r="B33" i="4"/>
  <c r="C29" i="4"/>
  <c r="B29" i="4"/>
  <c r="C25" i="4"/>
  <c r="B25" i="4"/>
  <c r="C21" i="4"/>
  <c r="B21" i="4"/>
  <c r="C17" i="4"/>
  <c r="B17" i="4"/>
  <c r="C13" i="4"/>
  <c r="B13" i="4"/>
  <c r="C9" i="4"/>
  <c r="B9" i="4"/>
  <c r="C5" i="4"/>
  <c r="B5" i="4"/>
  <c r="D45" i="3"/>
  <c r="L4" i="3"/>
  <c r="M4" i="3" s="1"/>
  <c r="N4" i="3" s="1"/>
  <c r="K16" i="3"/>
  <c r="K15" i="3"/>
  <c r="K6" i="3"/>
  <c r="L6" i="3" s="1"/>
  <c r="K5" i="3"/>
  <c r="L5" i="3" s="1"/>
  <c r="K4" i="3"/>
  <c r="K3" i="3"/>
  <c r="L3" i="3" s="1"/>
  <c r="M3" i="3" s="1"/>
  <c r="N3" i="3" s="1"/>
  <c r="K2" i="3"/>
  <c r="K11" i="3"/>
  <c r="L11" i="3" s="1"/>
  <c r="K12" i="3"/>
  <c r="L12" i="3" s="1"/>
  <c r="K13" i="3"/>
  <c r="L13" i="3" s="1"/>
  <c r="K14" i="3"/>
  <c r="K10" i="3"/>
  <c r="L10" i="3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" i="2"/>
  <c r="L2" i="3" l="1"/>
  <c r="M2" i="3" s="1"/>
  <c r="N2" i="3" s="1"/>
  <c r="E10" i="2"/>
  <c r="D92" i="1"/>
  <c r="E92" i="1"/>
  <c r="F4" i="2" s="1"/>
  <c r="G4" i="2" s="1"/>
  <c r="E105" i="1"/>
  <c r="F2" i="2" s="1"/>
  <c r="G2" i="2" s="1"/>
  <c r="D105" i="1"/>
  <c r="E96" i="1"/>
  <c r="F5" i="2" s="1"/>
  <c r="G5" i="2" s="1"/>
  <c r="D96" i="1"/>
  <c r="H96" i="1" s="1"/>
  <c r="I5" i="2" s="1"/>
  <c r="E39" i="1"/>
  <c r="F16" i="2" s="1"/>
  <c r="G16" i="2" s="1"/>
  <c r="D39" i="1"/>
  <c r="E13" i="1"/>
  <c r="F11" i="2" s="1"/>
  <c r="G11" i="2" s="1"/>
  <c r="D13" i="1"/>
  <c r="E17" i="1"/>
  <c r="F10" i="2" s="1"/>
  <c r="G10" i="2" s="1"/>
  <c r="D17" i="1"/>
  <c r="H17" i="1" s="1"/>
  <c r="I10" i="2" s="1"/>
  <c r="E100" i="1"/>
  <c r="F3" i="2" s="1"/>
  <c r="G3" i="2" s="1"/>
  <c r="D100" i="1"/>
  <c r="E57" i="1"/>
  <c r="I16" i="3" s="1"/>
  <c r="D57" i="1"/>
  <c r="H16" i="3" s="1"/>
  <c r="L16" i="3" s="1"/>
  <c r="M16" i="3" s="1"/>
  <c r="N16" i="3" s="1"/>
  <c r="E47" i="1"/>
  <c r="F17" i="2" s="1"/>
  <c r="G17" i="2" s="1"/>
  <c r="D47" i="1"/>
  <c r="H47" i="1" s="1"/>
  <c r="I17" i="2" s="1"/>
  <c r="E43" i="1"/>
  <c r="F15" i="2" s="1"/>
  <c r="G15" i="2" s="1"/>
  <c r="D43" i="1"/>
  <c r="H43" i="1" s="1"/>
  <c r="I15" i="2" s="1"/>
  <c r="E35" i="1"/>
  <c r="F14" i="2" s="1"/>
  <c r="G14" i="2" s="1"/>
  <c r="D35" i="1"/>
  <c r="E27" i="1"/>
  <c r="D27" i="1"/>
  <c r="E124" i="1"/>
  <c r="F7" i="2" s="1"/>
  <c r="G7" i="2" s="1"/>
  <c r="D124" i="1"/>
  <c r="E7" i="2" s="1"/>
  <c r="E120" i="1"/>
  <c r="F6" i="2" s="1"/>
  <c r="G6" i="2" s="1"/>
  <c r="D120" i="1"/>
  <c r="E6" i="2" s="1"/>
  <c r="E116" i="1"/>
  <c r="F9" i="2" s="1"/>
  <c r="G9" i="2" s="1"/>
  <c r="D116" i="1"/>
  <c r="E9" i="2" s="1"/>
  <c r="E112" i="1"/>
  <c r="F8" i="2" s="1"/>
  <c r="G8" i="2" s="1"/>
  <c r="D112" i="1"/>
  <c r="E8" i="2" s="1"/>
  <c r="E89" i="1"/>
  <c r="D89" i="1"/>
  <c r="E85" i="1"/>
  <c r="F23" i="2" s="1"/>
  <c r="G23" i="2" s="1"/>
  <c r="D85" i="1"/>
  <c r="E81" i="1"/>
  <c r="D81" i="1"/>
  <c r="E77" i="1"/>
  <c r="F22" i="2" s="1"/>
  <c r="G22" i="2" s="1"/>
  <c r="D77" i="1"/>
  <c r="E73" i="1"/>
  <c r="F21" i="2" s="1"/>
  <c r="G21" i="2" s="1"/>
  <c r="D73" i="1"/>
  <c r="E69" i="1"/>
  <c r="F19" i="2" s="1"/>
  <c r="G19" i="2" s="1"/>
  <c r="D69" i="1"/>
  <c r="H69" i="1" s="1"/>
  <c r="I19" i="2" s="1"/>
  <c r="E65" i="1"/>
  <c r="F20" i="2" s="1"/>
  <c r="G20" i="2" s="1"/>
  <c r="D65" i="1"/>
  <c r="E61" i="1"/>
  <c r="F18" i="2" s="1"/>
  <c r="G18" i="2" s="1"/>
  <c r="D61" i="1"/>
  <c r="E31" i="1"/>
  <c r="D31" i="1"/>
  <c r="H31" i="1" s="1"/>
  <c r="E9" i="1"/>
  <c r="F13" i="2" s="1"/>
  <c r="G13" i="2" s="1"/>
  <c r="D9" i="1"/>
  <c r="E5" i="1"/>
  <c r="F12" i="2" s="1"/>
  <c r="G12" i="2" s="1"/>
  <c r="D5" i="1"/>
  <c r="H5" i="1" s="1"/>
  <c r="I12" i="2" s="1"/>
  <c r="E13" i="2" l="1"/>
  <c r="H9" i="1"/>
  <c r="I13" i="2" s="1"/>
  <c r="E23" i="2"/>
  <c r="H85" i="1"/>
  <c r="I23" i="2" s="1"/>
  <c r="E2" i="2"/>
  <c r="H105" i="1"/>
  <c r="I2" i="2" s="1"/>
  <c r="E12" i="2"/>
  <c r="E21" i="2"/>
  <c r="H73" i="1"/>
  <c r="I21" i="2" s="1"/>
  <c r="E25" i="2"/>
  <c r="H89" i="1"/>
  <c r="I25" i="2" s="1"/>
  <c r="E11" i="2"/>
  <c r="H13" i="1"/>
  <c r="I11" i="2" s="1"/>
  <c r="E15" i="2"/>
  <c r="F25" i="2"/>
  <c r="G25" i="2" s="1"/>
  <c r="I92" i="1"/>
  <c r="J4" i="2" s="1"/>
  <c r="E4" i="2"/>
  <c r="H92" i="1"/>
  <c r="I4" i="2" s="1"/>
  <c r="E17" i="2"/>
  <c r="E18" i="2"/>
  <c r="H61" i="1"/>
  <c r="I18" i="2" s="1"/>
  <c r="E16" i="2"/>
  <c r="H39" i="1"/>
  <c r="I16" i="2" s="1"/>
  <c r="E5" i="2"/>
  <c r="E19" i="2"/>
  <c r="F24" i="2"/>
  <c r="G24" i="2" s="1"/>
  <c r="I14" i="3"/>
  <c r="E20" i="2"/>
  <c r="H65" i="1"/>
  <c r="I20" i="2" s="1"/>
  <c r="H81" i="1"/>
  <c r="I24" i="2" s="1"/>
  <c r="H14" i="3"/>
  <c r="L14" i="3" s="1"/>
  <c r="E14" i="2"/>
  <c r="H35" i="1"/>
  <c r="I14" i="2" s="1"/>
  <c r="E3" i="2"/>
  <c r="H100" i="1"/>
  <c r="I3" i="2" s="1"/>
  <c r="H27" i="1"/>
  <c r="I26" i="2" s="1"/>
  <c r="H15" i="3"/>
  <c r="L15" i="3" s="1"/>
  <c r="M15" i="3" s="1"/>
  <c r="N15" i="3" s="1"/>
  <c r="F26" i="2"/>
  <c r="G26" i="2" s="1"/>
  <c r="I15" i="3"/>
  <c r="N14" i="3"/>
  <c r="E24" i="2"/>
  <c r="E26" i="2"/>
  <c r="E22" i="2"/>
  <c r="H77" i="1"/>
  <c r="I22" i="2" s="1"/>
  <c r="E27" i="2"/>
  <c r="H57" i="1"/>
  <c r="F27" i="2"/>
  <c r="G27" i="2" s="1"/>
  <c r="I27" i="2" l="1"/>
  <c r="G52" i="3" l="1"/>
  <c r="G25" i="3"/>
</calcChain>
</file>

<file path=xl/sharedStrings.xml><?xml version="1.0" encoding="utf-8"?>
<sst xmlns="http://schemas.openxmlformats.org/spreadsheetml/2006/main" count="867" uniqueCount="108">
  <si>
    <t>stats</t>
  </si>
  <si>
    <t>100 nm Au</t>
  </si>
  <si>
    <t>Analog</t>
  </si>
  <si>
    <t>Reduced</t>
  </si>
  <si>
    <t>Pulse</t>
  </si>
  <si>
    <t>1000 nm Au</t>
  </si>
  <si>
    <t>Normal</t>
  </si>
  <si>
    <t>150 nm Au</t>
  </si>
  <si>
    <t>1500 nm Au</t>
  </si>
  <si>
    <t>analog</t>
  </si>
  <si>
    <t>reduced</t>
  </si>
  <si>
    <t>200 nm Au</t>
  </si>
  <si>
    <t>500 nm Au</t>
  </si>
  <si>
    <t>60 nm Au</t>
  </si>
  <si>
    <t>Reduced check</t>
  </si>
  <si>
    <t>730 nm SiO2</t>
  </si>
  <si>
    <t>Dual</t>
  </si>
  <si>
    <t>80 nm Au</t>
  </si>
  <si>
    <t>80nm Au</t>
  </si>
  <si>
    <t># particles</t>
  </si>
  <si>
    <t>Avg. int.</t>
  </si>
  <si>
    <t>Bkgd</t>
  </si>
  <si>
    <t>Threshold</t>
  </si>
  <si>
    <t>Sensitivity</t>
  </si>
  <si>
    <t>Detector</t>
  </si>
  <si>
    <t>100 s</t>
  </si>
  <si>
    <t>Particle mass (fg)</t>
  </si>
  <si>
    <t># detected particles</t>
  </si>
  <si>
    <t>Avg. int. (counts)</t>
  </si>
  <si>
    <t>Particle size (nm)</t>
  </si>
  <si>
    <t>Avg. int. (counts/s)</t>
  </si>
  <si>
    <t>100 s meas time</t>
  </si>
  <si>
    <t>Au density</t>
  </si>
  <si>
    <t>g/cm3</t>
  </si>
  <si>
    <t>Meas. Time (s)</t>
  </si>
  <si>
    <t>Pulse saturation</t>
  </si>
  <si>
    <t>NP# TE</t>
  </si>
  <si>
    <t>Conditions</t>
  </si>
  <si>
    <t>Uptake rate (mL/min)</t>
  </si>
  <si>
    <t>NP susp. conc. (NP/mL)</t>
  </si>
  <si>
    <t>Meas. Time (min)</t>
  </si>
  <si>
    <t>Too close to threshold</t>
  </si>
  <si>
    <t>2023 09 30 data (uptake rate=27 uL/min)</t>
  </si>
  <si>
    <t>stats_column1</t>
  </si>
  <si>
    <t>summaryArray_stats_1</t>
  </si>
  <si>
    <t>summaryArray_stats_2</t>
  </si>
  <si>
    <t>480 nm Si_Analog_Normal</t>
  </si>
  <si>
    <t>480 nm Si_Analog_Normal_1</t>
  </si>
  <si>
    <t>480 nm Si_Analog_Normal_2</t>
  </si>
  <si>
    <t>690 nm Si_Analog _Normal</t>
  </si>
  <si>
    <t>690 nm Si_Analog _Normal_1</t>
  </si>
  <si>
    <t>690 nm Si_Analog _Normal_2</t>
  </si>
  <si>
    <t>730 nm Si_Analog _Normal</t>
  </si>
  <si>
    <t>730 nm Si_Analog _Normal_1</t>
  </si>
  <si>
    <t>730 nm Si_Analog _Normal_2</t>
  </si>
  <si>
    <t>895 nm Si_Analog _Normal</t>
  </si>
  <si>
    <t>895 nm Si_Analog _Normal_1</t>
  </si>
  <si>
    <t>895 nm Si_Analog _Normal_2</t>
  </si>
  <si>
    <t>990 nm Si_Analog _Normal</t>
  </si>
  <si>
    <t>990 nm Si_Analog _Normal_1</t>
  </si>
  <si>
    <t>990 nm Si_Analog _Normal_2</t>
  </si>
  <si>
    <t>1050 nm Si_Analog _Normal</t>
  </si>
  <si>
    <t>1050 nm Si_Analog _Normal_1</t>
  </si>
  <si>
    <t>1050 nm Si_Analog _Normal_2</t>
  </si>
  <si>
    <t>1570 nm Si_Analog _Normal</t>
  </si>
  <si>
    <t>1570 nm Si_Analog _Normal_1</t>
  </si>
  <si>
    <t>1570 nm Si_Analog _Normal_2</t>
  </si>
  <si>
    <t>2060 nm Si_Analog _Normal</t>
  </si>
  <si>
    <t>2060 nm Si_Analog _Normal_1</t>
  </si>
  <si>
    <t>2060 nm Si_Analog _Normal_2</t>
  </si>
  <si>
    <t>3170 nm Si_Analog _Normal</t>
  </si>
  <si>
    <t>3170 nm Si_Analog _Normal_1</t>
  </si>
  <si>
    <t>3170 nm Si_Analog _Normal_2</t>
  </si>
  <si>
    <t>60 nm Au_Analog_Normal</t>
  </si>
  <si>
    <t>80 nm Au_Analog_Normal</t>
  </si>
  <si>
    <t>80 nm Au_Analog_Normal_1</t>
  </si>
  <si>
    <t>80 nm Au_Analog_Normal_2</t>
  </si>
  <si>
    <t>NP</t>
  </si>
  <si>
    <t>Average intensity (counts)</t>
  </si>
  <si>
    <t>NP# TE used in plot</t>
  </si>
  <si>
    <t>Notes</t>
  </si>
  <si>
    <t>Note from LC in sample prep: Portion of stock agglomerated to walls of container</t>
  </si>
  <si>
    <t>Too high, problem with stock?</t>
  </si>
  <si>
    <t>Data location</t>
  </si>
  <si>
    <t>C:\Users\lomax-vogt.2\The Ohio State University\Nanoparticles NSF - General\Engineered NP measurements\Engineered SiO2 NPs\2023 12 19 SiO2 normal and reduced sensitivity</t>
  </si>
  <si>
    <t>SiO2 particles</t>
  </si>
  <si>
    <t>Au particles</t>
  </si>
  <si>
    <t>C:\Users\lomax-vogt.2\The Ohio State University\Nanoparticles NSF - General\Engineered NP measurements\Engineered Au NPs\2023 12 18 Au NPs reduced normal pulse analog\2023 12 18</t>
  </si>
  <si>
    <t># particles %RSD</t>
  </si>
  <si>
    <t>100s measurement time</t>
  </si>
  <si>
    <t>Avg. int. %RSD</t>
  </si>
  <si>
    <t># particle % RSD</t>
  </si>
  <si>
    <t># particles % RSD</t>
  </si>
  <si>
    <t>Bkgd (counts)</t>
  </si>
  <si>
    <t>Threshold (counts)</t>
  </si>
  <si>
    <t>Intensity RSD</t>
  </si>
  <si>
    <t>Detector saturation</t>
  </si>
  <si>
    <t>% RSD</t>
  </si>
  <si>
    <t>Note from LC in sample prep: Portion of stock agglomerated to walls of original undiluted container</t>
  </si>
  <si>
    <t>Polystyrene particles</t>
  </si>
  <si>
    <t>Polystyrene (C8H8)n</t>
  </si>
  <si>
    <t>Std dev</t>
  </si>
  <si>
    <t>XL Toolbox Settings</t>
  </si>
  <si>
    <t>export_preset</t>
  </si>
  <si>
    <t>export_path</t>
  </si>
  <si>
    <t>&lt;?xml version="1.0" encoding="utf-16"?&gt;_x000D_
&lt;Preset xmlns:xsd="http://www.w3.org/2001/XMLSchema" xmlns:xsi="http://www.w3.org/2001/XMLSchema-instance"&gt;_x000D_
  &lt;Name&gt;Tiff, 600 dpi, RGB, White canvas&lt;/Name&gt;_x000D_
  &lt;Dpi&gt;600&lt;/Dpi&gt;_x000D_
  &lt;FileType&gt;Tiff&lt;/FileType&gt;_x000D_
  &lt;ColorSpace&gt;Rgb&lt;/ColorSpace&gt;_x000D_
  &lt;Transparency&gt;WhiteCanvas&lt;/Transparency&gt;_x000D_
  &lt;UseColorProfile&gt;false&lt;/UseColorProfile&gt;_x000D_
  &lt;ColorProfile&gt;Dell_XPS13_7390_UHD_SHARP_14A8&lt;/ColorProfile&gt;_x000D_
&lt;/Preset&gt;</t>
  </si>
  <si>
    <t>D:\MyFilesCF\Papers\2024 JAAS Linearity and Transport Eff\Hi Res Figures\Fig 1 16pt.tif</t>
  </si>
  <si>
    <t>Figures used for JAAS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</si>
</sst>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%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1"/>
      <color theme="0" tint="-0.14999847407452621"/>
      <name val="Calibri"/>
      <family val="2"/>
    </font>
    <font>
      <sz val="11"/>
      <color theme="0" tint="-0.14999847407452621"/>
      <name val="Calibri"/>
      <family val="2"/>
    </font>
    <font>
      <i/>
      <sz val="11"/>
      <color theme="0" tint="-0.14999847407452621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5" fontId="16" fillId="0" borderId="0" xfId="1" applyNumberFormat="1" applyFont="1"/>
    <xf numFmtId="0" fontId="0" fillId="0" borderId="0" xfId="0" applyAlignment="1">
      <alignment wrapText="1"/>
    </xf>
    <xf numFmtId="165" fontId="0" fillId="0" borderId="0" xfId="0" applyNumberFormat="1"/>
    <xf numFmtId="0" fontId="0" fillId="0" borderId="0" xfId="0" applyAlignment="1">
      <alignment horizontal="center" wrapText="1"/>
    </xf>
    <xf numFmtId="165" fontId="14" fillId="0" borderId="0" xfId="1" applyNumberFormat="1" applyFont="1"/>
    <xf numFmtId="0" fontId="0" fillId="0" borderId="10" xfId="0" applyBorder="1" applyAlignment="1">
      <alignment horizontal="center" wrapText="1"/>
    </xf>
    <xf numFmtId="166" fontId="0" fillId="0" borderId="0" xfId="1" applyNumberFormat="1" applyFont="1"/>
    <xf numFmtId="9" fontId="0" fillId="0" borderId="0" xfId="2" applyFont="1"/>
    <xf numFmtId="9" fontId="14" fillId="0" borderId="0" xfId="2" applyFont="1"/>
    <xf numFmtId="0" fontId="14" fillId="0" borderId="0" xfId="0" applyFont="1"/>
    <xf numFmtId="9" fontId="0" fillId="0" borderId="0" xfId="1" applyNumberFormat="1" applyFont="1"/>
    <xf numFmtId="9" fontId="0" fillId="0" borderId="0" xfId="0" applyNumberFormat="1"/>
    <xf numFmtId="0" fontId="14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0" fillId="0" borderId="0" xfId="0" applyFont="1"/>
    <xf numFmtId="166" fontId="20" fillId="0" borderId="0" xfId="1" applyNumberFormat="1" applyFont="1"/>
    <xf numFmtId="165" fontId="20" fillId="0" borderId="0" xfId="1" applyNumberFormat="1" applyFont="1"/>
    <xf numFmtId="164" fontId="20" fillId="0" borderId="0" xfId="1" applyNumberFormat="1" applyFont="1"/>
    <xf numFmtId="9" fontId="20" fillId="0" borderId="0" xfId="2" applyFont="1"/>
    <xf numFmtId="0" fontId="21" fillId="0" borderId="0" xfId="0" applyFont="1"/>
    <xf numFmtId="0" fontId="20" fillId="0" borderId="10" xfId="0" applyFont="1" applyBorder="1" applyAlignment="1">
      <alignment horizontal="center" wrapText="1"/>
    </xf>
    <xf numFmtId="9" fontId="20" fillId="0" borderId="0" xfId="1" applyNumberFormat="1" applyFont="1"/>
    <xf numFmtId="0" fontId="19" fillId="0" borderId="0" xfId="0" applyFont="1" applyAlignment="1">
      <alignment horizontal="center"/>
    </xf>
    <xf numFmtId="9" fontId="20" fillId="0" borderId="0" xfId="0" applyNumberFormat="1" applyFont="1"/>
    <xf numFmtId="43" fontId="0" fillId="0" borderId="0" xfId="1" applyFont="1"/>
    <xf numFmtId="165" fontId="0" fillId="0" borderId="0" xfId="1" applyNumberFormat="1" applyFont="1" applyAlignment="1">
      <alignment horizontal="center" wrapText="1"/>
    </xf>
    <xf numFmtId="9" fontId="0" fillId="0" borderId="0" xfId="2" applyFont="1" applyAlignment="1">
      <alignment horizontal="center" wrapText="1"/>
    </xf>
    <xf numFmtId="167" fontId="0" fillId="0" borderId="0" xfId="2" applyNumberFormat="1" applyFont="1"/>
    <xf numFmtId="167" fontId="0" fillId="0" borderId="0" xfId="1" applyNumberFormat="1" applyFont="1"/>
    <xf numFmtId="167" fontId="0" fillId="0" borderId="0" xfId="0" applyNumberFormat="1"/>
    <xf numFmtId="0" fontId="22" fillId="0" borderId="0" xfId="0" applyFont="1" applyAlignment="1">
      <alignment wrapText="1"/>
    </xf>
    <xf numFmtId="0" fontId="16" fillId="0" borderId="0" xfId="0" applyFont="1"/>
    <xf numFmtId="165" fontId="23" fillId="0" borderId="0" xfId="1" applyNumberFormat="1" applyFont="1"/>
    <xf numFmtId="0" fontId="23" fillId="0" borderId="0" xfId="0" applyFont="1" applyAlignment="1">
      <alignment horizontal="center" wrapText="1"/>
    </xf>
    <xf numFmtId="0" fontId="23" fillId="0" borderId="0" xfId="0" applyFont="1"/>
    <xf numFmtId="0" fontId="24" fillId="0" borderId="0" xfId="0" applyFont="1"/>
    <xf numFmtId="165" fontId="24" fillId="0" borderId="0" xfId="1" applyNumberFormat="1" applyFont="1"/>
    <xf numFmtId="1" fontId="0" fillId="0" borderId="0" xfId="1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3300"/>
      <color rgb="FF0000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72632367481876"/>
          <c:y val="3.6569392717238185E-2"/>
          <c:w val="0.78015528778311738"/>
          <c:h val="0.75185650175494723"/>
        </c:manualLayout>
      </c:layout>
      <c:scatterChart>
        <c:scatterStyle val="lineMarker"/>
        <c:varyColors val="0"/>
        <c:ser>
          <c:idx val="5"/>
          <c:order val="0"/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'Analog summary'!$N$2:$N$6</c:f>
                <c:numCache>
                  <c:formatCode>General</c:formatCode>
                  <c:ptCount val="5"/>
                  <c:pt idx="0">
                    <c:v>7.5458191110171473E-3</c:v>
                  </c:pt>
                  <c:pt idx="1">
                    <c:v>7.9813893195804109E-3</c:v>
                  </c:pt>
                  <c:pt idx="2">
                    <c:v>1.3327261885086605E-2</c:v>
                  </c:pt>
                  <c:pt idx="3">
                    <c:v>8.5171537297451753E-3</c:v>
                  </c:pt>
                  <c:pt idx="4">
                    <c:v>0</c:v>
                  </c:pt>
                </c:numCache>
              </c:numRef>
            </c:plus>
            <c:minus>
              <c:numRef>
                <c:f>'Analog summary'!$N$2:$N$6</c:f>
                <c:numCache>
                  <c:formatCode>General</c:formatCode>
                  <c:ptCount val="5"/>
                  <c:pt idx="0">
                    <c:v>7.5458191110171473E-3</c:v>
                  </c:pt>
                  <c:pt idx="1">
                    <c:v>7.9813893195804109E-3</c:v>
                  </c:pt>
                  <c:pt idx="2">
                    <c:v>1.3327261885086605E-2</c:v>
                  </c:pt>
                  <c:pt idx="3">
                    <c:v>8.5171537297451753E-3</c:v>
                  </c:pt>
                  <c:pt idx="4">
                    <c:v>0</c:v>
                  </c:pt>
                </c:numCache>
              </c:numRef>
            </c:minus>
            <c:spPr>
              <a:ln w="9525"/>
            </c:spPr>
          </c:errBars>
          <c:xVal>
            <c:numRef>
              <c:f>'Analog summary'!$G$2:$G$6</c:f>
              <c:numCache>
                <c:formatCode>_(* #,##0.0_);_(* \(#,##0.0\);_(* "-"??_);_(@_)</c:formatCode>
                <c:ptCount val="5"/>
                <c:pt idx="0" formatCode="_(* #,##0_);_(* \(#,##0\);_(* &quot;-&quot;??_);_(@_)">
                  <c:v>2.1827142000000004</c:v>
                </c:pt>
                <c:pt idx="1">
                  <c:v>5.1738410666666663</c:v>
                </c:pt>
                <c:pt idx="2" formatCode="_(* #,##0_);_(* \(#,##0\);_(* &quot;-&quot;??_);_(@_)">
                  <c:v>34.104909374999998</c:v>
                </c:pt>
                <c:pt idx="3" formatCode="_(* #,##0_);_(* \(#,##0\);_(* &quot;-&quot;??_);_(@_)">
                  <c:v>80.841266666666684</c:v>
                </c:pt>
                <c:pt idx="4" formatCode="_(* #,##0_);_(* \(#,##0\);_(* &quot;-&quot;??_);_(@_)">
                  <c:v>1263.1447916666666</c:v>
                </c:pt>
              </c:numCache>
            </c:numRef>
          </c:xVal>
          <c:yVal>
            <c:numRef>
              <c:f>'Analog summary'!$M$2:$M$6</c:f>
              <c:numCache>
                <c:formatCode>0.0%</c:formatCode>
                <c:ptCount val="5"/>
                <c:pt idx="0">
                  <c:v>0.21104838709677418</c:v>
                </c:pt>
                <c:pt idx="1">
                  <c:v>0.20870967741935484</c:v>
                </c:pt>
                <c:pt idx="2">
                  <c:v>0.21139784946236562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AF91-4341-97C0-2D84AA2457BE}"/>
            </c:ext>
          </c:extLst>
        </c:ser>
        <c:ser>
          <c:idx val="6"/>
          <c:order val="1"/>
          <c:spPr>
            <a:ln w="1905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'Analog summary'!$N$11:$N$16</c:f>
                <c:numCache>
                  <c:formatCode>General</c:formatCode>
                  <c:ptCount val="6"/>
                  <c:pt idx="0">
                    <c:v>4.140197464175082E-2</c:v>
                  </c:pt>
                  <c:pt idx="1">
                    <c:v>3.920142094382284E-2</c:v>
                  </c:pt>
                  <c:pt idx="2">
                    <c:v>3.2888687497048721E-2</c:v>
                  </c:pt>
                  <c:pt idx="3">
                    <c:v>7.1428571428571425E-2</c:v>
                  </c:pt>
                  <c:pt idx="4">
                    <c:v>5.9884286182016536E-3</c:v>
                  </c:pt>
                  <c:pt idx="5">
                    <c:v>3.0483870967741933E-3</c:v>
                  </c:pt>
                </c:numCache>
              </c:numRef>
            </c:plus>
            <c:minus>
              <c:numRef>
                <c:f>'Analog summary'!$N$11:$N$16</c:f>
                <c:numCache>
                  <c:formatCode>General</c:formatCode>
                  <c:ptCount val="6"/>
                  <c:pt idx="0">
                    <c:v>4.140197464175082E-2</c:v>
                  </c:pt>
                  <c:pt idx="1">
                    <c:v>3.920142094382284E-2</c:v>
                  </c:pt>
                  <c:pt idx="2">
                    <c:v>3.2888687497048721E-2</c:v>
                  </c:pt>
                  <c:pt idx="3">
                    <c:v>7.1428571428571425E-2</c:v>
                  </c:pt>
                  <c:pt idx="4">
                    <c:v>5.9884286182016536E-3</c:v>
                  </c:pt>
                  <c:pt idx="5">
                    <c:v>3.0483870967741933E-3</c:v>
                  </c:pt>
                </c:numCache>
              </c:numRef>
            </c:minus>
            <c:spPr>
              <a:ln w="12700"/>
            </c:spPr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'Analog summary'!$G$15:$G$16</c:f>
              <c:numCache>
                <c:formatCode>_(* #,##0_);_(* \(#,##0\);_(* "-"??_);_(@_)</c:formatCode>
                <c:ptCount val="2"/>
                <c:pt idx="0">
                  <c:v>10105.158333333333</c:v>
                </c:pt>
                <c:pt idx="1">
                  <c:v>34104.909374999988</c:v>
                </c:pt>
              </c:numCache>
            </c:numRef>
          </c:xVal>
          <c:yVal>
            <c:numRef>
              <c:f>'Analog summary'!$M$15:$M$16</c:f>
              <c:numCache>
                <c:formatCode>0.0%</c:formatCode>
                <c:ptCount val="2"/>
                <c:pt idx="0">
                  <c:v>5.7266129032258063E-2</c:v>
                </c:pt>
                <c:pt idx="1">
                  <c:v>3.2177419354838706E-2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AF91-4341-97C0-2D84AA2457BE}"/>
            </c:ext>
          </c:extLst>
        </c:ser>
        <c:ser>
          <c:idx val="7"/>
          <c:order val="2"/>
          <c:spPr>
            <a:ln w="19050">
              <a:noFill/>
            </a:ln>
          </c:spPr>
          <c:errBars>
            <c:errDir val="x"/>
            <c:errBarType val="both"/>
            <c:errValType val="cust"/>
            <c:noEndCap val="0"/>
            <c:plus>
              <c:numRef>
                <c:f>'Analog summary'!$N$19:$N$27</c:f>
                <c:numCache>
                  <c:formatCode>General</c:formatCode>
                  <c:ptCount val="9"/>
                  <c:pt idx="0">
                    <c:v>0.68798823577884516</c:v>
                  </c:pt>
                  <c:pt idx="1">
                    <c:v>2.9914898372566776E-3</c:v>
                  </c:pt>
                  <c:pt idx="2">
                    <c:v>1.8499624230199172E-3</c:v>
                  </c:pt>
                  <c:pt idx="3">
                    <c:v>1.351591945158768E-3</c:v>
                  </c:pt>
                  <c:pt idx="4">
                    <c:v>1.8437019569335761E-3</c:v>
                  </c:pt>
                  <c:pt idx="5">
                    <c:v>3.1903142349787028E-2</c:v>
                  </c:pt>
                  <c:pt idx="6">
                    <c:v>9.9716327908555991E-4</c:v>
                  </c:pt>
                  <c:pt idx="7">
                    <c:v>2.3753464553090868E-3</c:v>
                  </c:pt>
                  <c:pt idx="8">
                    <c:v>1.9768576678333596E-3</c:v>
                  </c:pt>
                </c:numCache>
              </c:numRef>
            </c:plus>
            <c:minus>
              <c:numRef>
                <c:f>'Analog summary'!$N$19:$N$27</c:f>
                <c:numCache>
                  <c:formatCode>General</c:formatCode>
                  <c:ptCount val="9"/>
                  <c:pt idx="0">
                    <c:v>0.68798823577884516</c:v>
                  </c:pt>
                  <c:pt idx="1">
                    <c:v>2.9914898372566776E-3</c:v>
                  </c:pt>
                  <c:pt idx="2">
                    <c:v>1.8499624230199172E-3</c:v>
                  </c:pt>
                  <c:pt idx="3">
                    <c:v>1.351591945158768E-3</c:v>
                  </c:pt>
                  <c:pt idx="4">
                    <c:v>1.8437019569335761E-3</c:v>
                  </c:pt>
                  <c:pt idx="5">
                    <c:v>3.1903142349787028E-2</c:v>
                  </c:pt>
                  <c:pt idx="6">
                    <c:v>9.9716327908555991E-4</c:v>
                  </c:pt>
                  <c:pt idx="7">
                    <c:v>2.3753464553090868E-3</c:v>
                  </c:pt>
                  <c:pt idx="8">
                    <c:v>1.9768576678333596E-3</c:v>
                  </c:pt>
                </c:numCache>
              </c:numRef>
            </c:minus>
          </c:errBars>
          <c:errBars>
            <c:errDir val="y"/>
            <c:errBarType val="both"/>
            <c:errValType val="stdErr"/>
            <c:noEndCap val="0"/>
          </c:errBars>
          <c:xVal>
            <c:numRef>
              <c:f>'Analog summary'!$G$19:$G$27</c:f>
              <c:numCache>
                <c:formatCode>_(* #,##0_);_(* \(#,##0\);_(* "-"??_);_(@_)</c:formatCode>
                <c:ptCount val="9"/>
                <c:pt idx="0">
                  <c:v>115.808256</c:v>
                </c:pt>
                <c:pt idx="1">
                  <c:v>344.00367449999993</c:v>
                </c:pt>
                <c:pt idx="2">
                  <c:v>407.36563516666666</c:v>
                </c:pt>
                <c:pt idx="3">
                  <c:v>750.73197785416642</c:v>
                </c:pt>
                <c:pt idx="4">
                  <c:v>1016.0647694999997</c:v>
                </c:pt>
                <c:pt idx="5">
                  <c:v>1212.2263125000002</c:v>
                </c:pt>
                <c:pt idx="6">
                  <c:v>4458</c:v>
                </c:pt>
                <c:pt idx="7" formatCode="General">
                  <c:v>9154.1383213333302</c:v>
                </c:pt>
                <c:pt idx="8" formatCode="General">
                  <c:v>33357.507779833337</c:v>
                </c:pt>
              </c:numCache>
            </c:numRef>
          </c:xVal>
          <c:yVal>
            <c:numRef>
              <c:f>'Analog summary'!$M$19:$M$27</c:f>
              <c:numCache>
                <c:formatCode>0%</c:formatCode>
                <c:ptCount val="9"/>
                <c:pt idx="1">
                  <c:v>0.12516129032258067</c:v>
                </c:pt>
                <c:pt idx="2">
                  <c:v>0.10139784946236559</c:v>
                </c:pt>
                <c:pt idx="3">
                  <c:v>9.6559139784946235E-2</c:v>
                </c:pt>
                <c:pt idx="4" formatCode="0.0%">
                  <c:v>4.5806451612903226E-2</c:v>
                </c:pt>
                <c:pt idx="6" formatCode="0.0%">
                  <c:v>5.2043010752688176E-2</c:v>
                </c:pt>
                <c:pt idx="7" formatCode="0.0%">
                  <c:v>4.9892473118279573E-2</c:v>
                </c:pt>
                <c:pt idx="8" formatCode="0.0%">
                  <c:v>4.4623655913978495E-2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AF91-4341-97C0-2D84AA2457BE}"/>
            </c:ext>
          </c:extLst>
        </c:ser>
        <c:ser>
          <c:idx val="8"/>
          <c:order val="3"/>
          <c:tx>
            <c:v>Au Sept 2023</c:v>
          </c:tx>
          <c:spPr>
            <a:ln w="1905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'Analog summary'!$M$46:$M$48</c:f>
                <c:numCache>
                  <c:formatCode>General</c:formatCode>
                  <c:ptCount val="3"/>
                  <c:pt idx="0">
                    <c:v>3.9122052341663667E-2</c:v>
                  </c:pt>
                  <c:pt idx="1">
                    <c:v>2.2634497647375688E-2</c:v>
                  </c:pt>
                  <c:pt idx="2">
                    <c:v>4.40286996088134E-2</c:v>
                  </c:pt>
                </c:numCache>
              </c:numRef>
            </c:plus>
            <c:minus>
              <c:numRef>
                <c:f>'Analog summary'!$M$46:$M$48</c:f>
                <c:numCache>
                  <c:formatCode>General</c:formatCode>
                  <c:ptCount val="3"/>
                  <c:pt idx="0">
                    <c:v>3.9122052341663667E-2</c:v>
                  </c:pt>
                  <c:pt idx="1">
                    <c:v>2.2634497647375688E-2</c:v>
                  </c:pt>
                  <c:pt idx="2">
                    <c:v>4.40286996088134E-2</c:v>
                  </c:pt>
                </c:numCache>
              </c:numRef>
            </c:minus>
          </c:errBars>
          <c:xVal>
            <c:numRef>
              <c:f>'Analog summary'!$G$46:$G$48</c:f>
              <c:numCache>
                <c:formatCode>_(* #,##0_);_(* \(#,##0\);_(* "-"??_);_(@_)</c:formatCode>
                <c:ptCount val="3"/>
                <c:pt idx="0">
                  <c:v>2.1827142000000004</c:v>
                </c:pt>
                <c:pt idx="1">
                  <c:v>10.105158333333335</c:v>
                </c:pt>
                <c:pt idx="2">
                  <c:v>80.841266666666684</c:v>
                </c:pt>
              </c:numCache>
            </c:numRef>
          </c:xVal>
          <c:yVal>
            <c:numRef>
              <c:f>'Analog summary'!$L$46:$L$48</c:f>
              <c:numCache>
                <c:formatCode>0%</c:formatCode>
                <c:ptCount val="3"/>
                <c:pt idx="0">
                  <c:v>0.31355555555555553</c:v>
                </c:pt>
                <c:pt idx="1">
                  <c:v>0.32095238095238093</c:v>
                </c:pt>
                <c:pt idx="2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AF91-4341-97C0-2D84AA2457BE}"/>
            </c:ext>
          </c:extLst>
        </c:ser>
        <c:ser>
          <c:idx val="9"/>
          <c:order val="4"/>
          <c:tx>
            <c:v>SiO2 Sept 2023</c:v>
          </c:tx>
          <c:spPr>
            <a:ln w="1905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'Analog summary'!$M$49:$M$54</c:f>
                <c:numCache>
                  <c:formatCode>General</c:formatCode>
                  <c:ptCount val="6"/>
                  <c:pt idx="0">
                    <c:v>2.0157677485048243E-2</c:v>
                  </c:pt>
                  <c:pt idx="1">
                    <c:v>1.8244190311157683E-2</c:v>
                  </c:pt>
                  <c:pt idx="2">
                    <c:v>8.60535450753043E-3</c:v>
                  </c:pt>
                  <c:pt idx="3">
                    <c:v>9.1342674719791881E-3</c:v>
                  </c:pt>
                  <c:pt idx="4">
                    <c:v>3.9065630121503554E-3</c:v>
                  </c:pt>
                  <c:pt idx="5">
                    <c:v>3.7288038366379895E-3</c:v>
                  </c:pt>
                </c:numCache>
              </c:numRef>
            </c:plus>
            <c:minus>
              <c:numRef>
                <c:f>'Analog summary'!$M$49:$M$54</c:f>
                <c:numCache>
                  <c:formatCode>General</c:formatCode>
                  <c:ptCount val="6"/>
                  <c:pt idx="0">
                    <c:v>2.0157677485048243E-2</c:v>
                  </c:pt>
                  <c:pt idx="1">
                    <c:v>1.8244190311157683E-2</c:v>
                  </c:pt>
                  <c:pt idx="2">
                    <c:v>8.60535450753043E-3</c:v>
                  </c:pt>
                  <c:pt idx="3">
                    <c:v>9.1342674719791881E-3</c:v>
                  </c:pt>
                  <c:pt idx="4">
                    <c:v>3.9065630121503554E-3</c:v>
                  </c:pt>
                  <c:pt idx="5">
                    <c:v>3.7288038366379895E-3</c:v>
                  </c:pt>
                </c:numCache>
              </c:numRef>
            </c:minus>
          </c:errBars>
          <c:xVal>
            <c:numRef>
              <c:f>'Analog summary'!$G$49:$G$54</c:f>
              <c:numCache>
                <c:formatCode>_(* #,##0_);_(* \(#,##0\);_(* "-"??_);_(@_)</c:formatCode>
                <c:ptCount val="6"/>
                <c:pt idx="0">
                  <c:v>115.808256</c:v>
                </c:pt>
                <c:pt idx="1">
                  <c:v>448</c:v>
                </c:pt>
                <c:pt idx="2">
                  <c:v>1016.0647694999997</c:v>
                </c:pt>
                <c:pt idx="3">
                  <c:v>4458</c:v>
                </c:pt>
                <c:pt idx="4">
                  <c:v>9154.1383213333302</c:v>
                </c:pt>
                <c:pt idx="5">
                  <c:v>33357.507779833337</c:v>
                </c:pt>
              </c:numCache>
            </c:numRef>
          </c:xVal>
          <c:yVal>
            <c:numRef>
              <c:f>'Analog summary'!$L$49:$L$54</c:f>
              <c:numCache>
                <c:formatCode>0%</c:formatCode>
                <c:ptCount val="6"/>
                <c:pt idx="0">
                  <c:v>0.29948148148148152</c:v>
                </c:pt>
                <c:pt idx="1">
                  <c:v>0.28392592592592597</c:v>
                </c:pt>
                <c:pt idx="2">
                  <c:v>0.1771851851851852</c:v>
                </c:pt>
                <c:pt idx="3">
                  <c:v>9.8518518518518519E-2</c:v>
                </c:pt>
                <c:pt idx="4">
                  <c:v>7.5688888888888889E-2</c:v>
                </c:pt>
                <c:pt idx="5">
                  <c:v>3.9037037037037037E-2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AF91-4341-97C0-2D84AA2457BE}"/>
            </c:ext>
          </c:extLst>
        </c:ser>
        <c:ser>
          <c:idx val="0"/>
          <c:order val="5"/>
          <c:spPr>
            <a:ln w="19050">
              <a:noFill/>
            </a:ln>
          </c:spPr>
          <c:marker>
            <c:symbol val="circle"/>
            <c:size val="10"/>
            <c:spPr>
              <a:noFill/>
              <a:ln w="25400"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3.4120530653512671E-2"/>
                  <c:y val="6.7361009303551836E-2"/>
                </c:manualLayout>
              </c:layout>
              <c:tx>
                <c:rich>
                  <a:bodyPr/>
                  <a:lstStyle/>
                  <a:p>
                    <a:fld id="{649B08E8-03F4-4A0D-971F-0F719F937D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F91-4341-97C0-2D84AA2457BE}"/>
                </c:ext>
              </c:extLst>
            </c:dLbl>
            <c:dLbl>
              <c:idx val="1"/>
              <c:layout>
                <c:manualLayout>
                  <c:x val="-3.5204388746319017E-2"/>
                  <c:y val="6.4953954067202169E-2"/>
                </c:manualLayout>
              </c:layout>
              <c:tx>
                <c:rich>
                  <a:bodyPr/>
                  <a:lstStyle/>
                  <a:p>
                    <a:fld id="{5B26ED63-0CB8-4AF7-8E94-2D6493F4E0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F91-4341-97C0-2D84AA2457BE}"/>
                </c:ext>
              </c:extLst>
            </c:dLbl>
            <c:dLbl>
              <c:idx val="2"/>
              <c:layout>
                <c:manualLayout>
                  <c:x val="-4.4051594717975429E-2"/>
                  <c:y val="6.8785410177377423E-2"/>
                </c:manualLayout>
              </c:layout>
              <c:tx>
                <c:rich>
                  <a:bodyPr/>
                  <a:lstStyle/>
                  <a:p>
                    <a:fld id="{4E467747-DC77-4816-813B-E8E35BDBED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91-4341-97C0-2D84AA2457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F91-4341-97C0-2D84AA2457BE}"/>
                </c:ext>
              </c:extLst>
            </c:dLbl>
            <c:dLbl>
              <c:idx val="4"/>
              <c:layout>
                <c:manualLayout>
                  <c:x val="-7.2361061949544128E-3"/>
                  <c:y val="9.4157548488257147E-3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AF91-4341-97C0-2D84AA245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'Analog summary'!$N$2:$N$6</c:f>
                <c:numCache>
                  <c:formatCode>General</c:formatCode>
                  <c:ptCount val="5"/>
                  <c:pt idx="0">
                    <c:v>7.5458191110171473E-3</c:v>
                  </c:pt>
                  <c:pt idx="1">
                    <c:v>7.9813893195804109E-3</c:v>
                  </c:pt>
                  <c:pt idx="2">
                    <c:v>1.3327261885086605E-2</c:v>
                  </c:pt>
                  <c:pt idx="3">
                    <c:v>8.5171537297451753E-3</c:v>
                  </c:pt>
                  <c:pt idx="4">
                    <c:v>0</c:v>
                  </c:pt>
                </c:numCache>
              </c:numRef>
            </c:plus>
            <c:minus>
              <c:numRef>
                <c:f>'Analog summary'!$N$2:$N$6</c:f>
                <c:numCache>
                  <c:formatCode>General</c:formatCode>
                  <c:ptCount val="5"/>
                  <c:pt idx="0">
                    <c:v>7.5458191110171473E-3</c:v>
                  </c:pt>
                  <c:pt idx="1">
                    <c:v>7.9813893195804109E-3</c:v>
                  </c:pt>
                  <c:pt idx="2">
                    <c:v>1.3327261885086605E-2</c:v>
                  </c:pt>
                  <c:pt idx="3">
                    <c:v>8.5171537297451753E-3</c:v>
                  </c:pt>
                  <c:pt idx="4">
                    <c:v>0</c:v>
                  </c:pt>
                </c:numCache>
              </c:numRef>
            </c:minus>
          </c:errBars>
          <c:xVal>
            <c:numRef>
              <c:f>'Analog summary'!$G$2:$G$6</c:f>
              <c:numCache>
                <c:formatCode>_(* #,##0.0_);_(* \(#,##0.0\);_(* "-"??_);_(@_)</c:formatCode>
                <c:ptCount val="5"/>
                <c:pt idx="0" formatCode="_(* #,##0_);_(* \(#,##0\);_(* &quot;-&quot;??_);_(@_)">
                  <c:v>2.1827142000000004</c:v>
                </c:pt>
                <c:pt idx="1">
                  <c:v>5.1738410666666663</c:v>
                </c:pt>
                <c:pt idx="2" formatCode="_(* #,##0_);_(* \(#,##0\);_(* &quot;-&quot;??_);_(@_)">
                  <c:v>34.104909374999998</c:v>
                </c:pt>
                <c:pt idx="3" formatCode="_(* #,##0_);_(* \(#,##0\);_(* &quot;-&quot;??_);_(@_)">
                  <c:v>80.841266666666684</c:v>
                </c:pt>
                <c:pt idx="4" formatCode="_(* #,##0_);_(* \(#,##0\);_(* &quot;-&quot;??_);_(@_)">
                  <c:v>1263.1447916666666</c:v>
                </c:pt>
              </c:numCache>
            </c:numRef>
          </c:xVal>
          <c:yVal>
            <c:numRef>
              <c:f>'Analog summary'!$M$2:$M$6</c:f>
              <c:numCache>
                <c:formatCode>0.0%</c:formatCode>
                <c:ptCount val="5"/>
                <c:pt idx="0">
                  <c:v>0.21104838709677418</c:v>
                </c:pt>
                <c:pt idx="1">
                  <c:v>0.20870967741935484</c:v>
                </c:pt>
                <c:pt idx="2">
                  <c:v>0.21139784946236562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'Analog summary'!$F$2:$F$6</c15:f>
                <c15:dlblRangeCache>
                  <c:ptCount val="5"/>
                  <c:pt idx="0">
                    <c:v>60</c:v>
                  </c:pt>
                  <c:pt idx="1">
                    <c:v>80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F91-4341-97C0-2D84AA2457BE}"/>
            </c:ext>
          </c:extLst>
        </c:ser>
        <c:ser>
          <c:idx val="1"/>
          <c:order val="6"/>
          <c:spPr>
            <a:ln w="19050">
              <a:noFill/>
            </a:ln>
          </c:spPr>
          <c:marker>
            <c:symbol val="circle"/>
            <c:size val="10"/>
            <c:spPr>
              <a:noFill/>
              <a:ln w="22225"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1900707816856796E-2"/>
                  <c:y val="-3.367207987562049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>
                        <a:solidFill>
                          <a:srgbClr val="FF0000"/>
                        </a:solidFill>
                      </a:defRPr>
                    </a:pPr>
                    <a:fld id="{57CC3407-9532-4876-B3E0-E7D8B343FC52}" type="CELLRANGE">
                      <a:rPr lang="en-US"/>
                      <a:pPr>
                        <a:defRPr sz="1600"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F91-4341-97C0-2D84AA2457BE}"/>
                </c:ext>
              </c:extLst>
            </c:dLbl>
            <c:dLbl>
              <c:idx val="1"/>
              <c:layout>
                <c:manualLayout>
                  <c:x val="-3.2067465302245781E-3"/>
                  <c:y val="1.47531973606654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>
                        <a:solidFill>
                          <a:srgbClr val="FF0000"/>
                        </a:solidFill>
                      </a:defRPr>
                    </a:pPr>
                    <a:fld id="{4AB90A16-2C50-4354-98E8-84153D0B5C36}" type="CELLRANGE">
                      <a:rPr lang="en-US"/>
                      <a:pPr>
                        <a:defRPr sz="1600"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F91-4341-97C0-2D84AA245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'Analog summary'!$N$11:$N$16</c:f>
                <c:numCache>
                  <c:formatCode>General</c:formatCode>
                  <c:ptCount val="6"/>
                  <c:pt idx="0">
                    <c:v>4.140197464175082E-2</c:v>
                  </c:pt>
                  <c:pt idx="1">
                    <c:v>3.920142094382284E-2</c:v>
                  </c:pt>
                  <c:pt idx="2">
                    <c:v>3.2888687497048721E-2</c:v>
                  </c:pt>
                  <c:pt idx="3">
                    <c:v>7.1428571428571425E-2</c:v>
                  </c:pt>
                  <c:pt idx="4">
                    <c:v>5.9884286182016536E-3</c:v>
                  </c:pt>
                  <c:pt idx="5">
                    <c:v>3.0483870967741933E-3</c:v>
                  </c:pt>
                </c:numCache>
              </c:numRef>
            </c:plus>
            <c:minus>
              <c:numRef>
                <c:f>'Analog summary'!$N$11:$N$16</c:f>
                <c:numCache>
                  <c:formatCode>General</c:formatCode>
                  <c:ptCount val="6"/>
                  <c:pt idx="0">
                    <c:v>4.140197464175082E-2</c:v>
                  </c:pt>
                  <c:pt idx="1">
                    <c:v>3.920142094382284E-2</c:v>
                  </c:pt>
                  <c:pt idx="2">
                    <c:v>3.2888687497048721E-2</c:v>
                  </c:pt>
                  <c:pt idx="3">
                    <c:v>7.1428571428571425E-2</c:v>
                  </c:pt>
                  <c:pt idx="4">
                    <c:v>5.9884286182016536E-3</c:v>
                  </c:pt>
                  <c:pt idx="5">
                    <c:v>3.0483870967741933E-3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'Analog summary'!$G$15:$G$16</c:f>
              <c:numCache>
                <c:formatCode>_(* #,##0_);_(* \(#,##0\);_(* "-"??_);_(@_)</c:formatCode>
                <c:ptCount val="2"/>
                <c:pt idx="0">
                  <c:v>10105.158333333333</c:v>
                </c:pt>
                <c:pt idx="1">
                  <c:v>34104.909374999988</c:v>
                </c:pt>
              </c:numCache>
            </c:numRef>
          </c:xVal>
          <c:yVal>
            <c:numRef>
              <c:f>'Analog summary'!$M$15:$M$16</c:f>
              <c:numCache>
                <c:formatCode>0.0%</c:formatCode>
                <c:ptCount val="2"/>
                <c:pt idx="0">
                  <c:v>5.7266129032258063E-2</c:v>
                </c:pt>
                <c:pt idx="1">
                  <c:v>3.2177419354838706E-2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'Analog summary'!$F$15:$F$16</c15:f>
                <c15:dlblRangeCache>
                  <c:ptCount val="2"/>
                  <c:pt idx="0">
                    <c:v>1000</c:v>
                  </c:pt>
                  <c:pt idx="1">
                    <c:v>1500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AF91-4341-97C0-2D84AA2457BE}"/>
            </c:ext>
          </c:extLst>
        </c:ser>
        <c:ser>
          <c:idx val="2"/>
          <c:order val="7"/>
          <c:spPr>
            <a:ln w="19050">
              <a:noFill/>
            </a:ln>
          </c:spPr>
          <c:marker>
            <c:symbol val="triangle"/>
            <c:size val="10"/>
            <c:spPr>
              <a:noFill/>
              <a:ln w="25400">
                <a:solidFill>
                  <a:srgbClr val="0000FF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F91-4341-97C0-2D84AA2457BE}"/>
                </c:ext>
              </c:extLst>
            </c:dLbl>
            <c:dLbl>
              <c:idx val="1"/>
              <c:layout>
                <c:manualLayout>
                  <c:x val="-5.1760873126445346E-2"/>
                  <c:y val="-7.418802531595157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>
                        <a:solidFill>
                          <a:srgbClr val="0000FF"/>
                        </a:solidFill>
                      </a:defRPr>
                    </a:pPr>
                    <a:fld id="{E6B6F265-E5B3-4D8C-BD4B-C83692886EED}" type="CELLRANGE">
                      <a:rPr lang="en-US"/>
                      <a:pPr>
                        <a:defRPr sz="1600"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F91-4341-97C0-2D84AA2457BE}"/>
                </c:ext>
              </c:extLst>
            </c:dLbl>
            <c:dLbl>
              <c:idx val="2"/>
              <c:layout>
                <c:manualLayout>
                  <c:x val="-4.8899647940063365E-2"/>
                  <c:y val="4.962645875415432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>
                        <a:solidFill>
                          <a:srgbClr val="0000FF"/>
                        </a:solidFill>
                      </a:defRPr>
                    </a:pPr>
                    <a:fld id="{C35832E3-C9E8-482A-BF22-11CCA6F26459}" type="CELLRANGE">
                      <a:rPr lang="en-US"/>
                      <a:pPr>
                        <a:defRPr sz="1600"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F91-4341-97C0-2D84AA2457BE}"/>
                </c:ext>
              </c:extLst>
            </c:dLbl>
            <c:dLbl>
              <c:idx val="3"/>
              <c:layout>
                <c:manualLayout>
                  <c:x val="-2.658517267404132E-2"/>
                  <c:y val="0.1342412909276460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>
                        <a:solidFill>
                          <a:srgbClr val="0000FF"/>
                        </a:solidFill>
                      </a:defRPr>
                    </a:pPr>
                    <a:r>
                      <a:rPr lang="en-US" sz="1600"/>
                      <a:t>990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F-AF91-4341-97C0-2D84AA2457B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91-4341-97C0-2D84AA2457B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F91-4341-97C0-2D84AA2457BE}"/>
                </c:ext>
              </c:extLst>
            </c:dLbl>
            <c:dLbl>
              <c:idx val="6"/>
              <c:layout>
                <c:manualLayout>
                  <c:x val="-6.1199235933907151E-2"/>
                  <c:y val="-0.14420309490947086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>
                        <a:solidFill>
                          <a:srgbClr val="0000FF"/>
                        </a:solidFill>
                      </a:defRPr>
                    </a:pPr>
                    <a:fld id="{49ADDAEA-B3D7-4E8B-AD30-2896062B711D}" type="CELLRANGE">
                      <a:rPr lang="en-US"/>
                      <a:pPr>
                        <a:defRPr sz="1600"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AF91-4341-97C0-2D84AA2457BE}"/>
                </c:ext>
              </c:extLst>
            </c:dLbl>
            <c:dLbl>
              <c:idx val="7"/>
              <c:layout>
                <c:manualLayout>
                  <c:x val="-4.0192352187520722E-2"/>
                  <c:y val="-0.11546374024210884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>
                        <a:solidFill>
                          <a:srgbClr val="0000FF"/>
                        </a:solidFill>
                      </a:defRPr>
                    </a:pPr>
                    <a:fld id="{3AAE0BFA-1B11-4BD3-9736-D769E40ECDC6}" type="CELLRANGE">
                      <a:rPr lang="en-US"/>
                      <a:pPr>
                        <a:defRPr sz="1600"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F91-4341-97C0-2D84AA2457BE}"/>
                </c:ext>
              </c:extLst>
            </c:dLbl>
            <c:dLbl>
              <c:idx val="8"/>
              <c:layout>
                <c:manualLayout>
                  <c:x val="-4.5926652164588377E-4"/>
                  <c:y val="-1.710216169875956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600">
                        <a:solidFill>
                          <a:srgbClr val="0000FF"/>
                        </a:solidFill>
                      </a:defRPr>
                    </a:pPr>
                    <a:fld id="{19004158-4D99-40A2-85D6-DD781FDD2CE2}" type="CELLRANGE">
                      <a:rPr lang="en-US"/>
                      <a:pPr>
                        <a:defRPr sz="1600">
                          <a:solidFill>
                            <a:srgbClr val="0000FF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AF91-4341-97C0-2D84AA245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cust"/>
            <c:noEndCap val="0"/>
            <c:plus>
              <c:numRef>
                <c:f>'Analog summary'!$N$19:$N$27</c:f>
                <c:numCache>
                  <c:formatCode>General</c:formatCode>
                  <c:ptCount val="9"/>
                  <c:pt idx="0">
                    <c:v>0.68798823577884516</c:v>
                  </c:pt>
                  <c:pt idx="1">
                    <c:v>2.9914898372566776E-3</c:v>
                  </c:pt>
                  <c:pt idx="2">
                    <c:v>1.8499624230199172E-3</c:v>
                  </c:pt>
                  <c:pt idx="3">
                    <c:v>1.351591945158768E-3</c:v>
                  </c:pt>
                  <c:pt idx="4">
                    <c:v>1.8437019569335761E-3</c:v>
                  </c:pt>
                  <c:pt idx="5">
                    <c:v>3.1903142349787028E-2</c:v>
                  </c:pt>
                  <c:pt idx="6">
                    <c:v>9.9716327908555991E-4</c:v>
                  </c:pt>
                  <c:pt idx="7">
                    <c:v>2.3753464553090868E-3</c:v>
                  </c:pt>
                  <c:pt idx="8">
                    <c:v>1.9768576678333596E-3</c:v>
                  </c:pt>
                </c:numCache>
              </c:numRef>
            </c:plus>
            <c:minus>
              <c:numRef>
                <c:f>'Analog summary'!$N$19:$N$27</c:f>
                <c:numCache>
                  <c:formatCode>General</c:formatCode>
                  <c:ptCount val="9"/>
                  <c:pt idx="0">
                    <c:v>0.68798823577884516</c:v>
                  </c:pt>
                  <c:pt idx="1">
                    <c:v>2.9914898372566776E-3</c:v>
                  </c:pt>
                  <c:pt idx="2">
                    <c:v>1.8499624230199172E-3</c:v>
                  </c:pt>
                  <c:pt idx="3">
                    <c:v>1.351591945158768E-3</c:v>
                  </c:pt>
                  <c:pt idx="4">
                    <c:v>1.8437019569335761E-3</c:v>
                  </c:pt>
                  <c:pt idx="5">
                    <c:v>3.1903142349787028E-2</c:v>
                  </c:pt>
                  <c:pt idx="6">
                    <c:v>9.9716327908555991E-4</c:v>
                  </c:pt>
                  <c:pt idx="7">
                    <c:v>2.3753464553090868E-3</c:v>
                  </c:pt>
                  <c:pt idx="8">
                    <c:v>1.9768576678333596E-3</c:v>
                  </c:pt>
                </c:numCache>
              </c:numRef>
            </c:minus>
          </c:errBars>
          <c:errBars>
            <c:errDir val="y"/>
            <c:errBarType val="both"/>
            <c:errValType val="stdErr"/>
            <c:noEndCap val="0"/>
            <c:spPr>
              <a:ln w="12700"/>
            </c:spPr>
          </c:errBars>
          <c:xVal>
            <c:numRef>
              <c:f>'Analog summary'!$G$19:$G$27</c:f>
              <c:numCache>
                <c:formatCode>_(* #,##0_);_(* \(#,##0\);_(* "-"??_);_(@_)</c:formatCode>
                <c:ptCount val="9"/>
                <c:pt idx="0">
                  <c:v>115.808256</c:v>
                </c:pt>
                <c:pt idx="1">
                  <c:v>344.00367449999993</c:v>
                </c:pt>
                <c:pt idx="2">
                  <c:v>407.36563516666666</c:v>
                </c:pt>
                <c:pt idx="3">
                  <c:v>750.73197785416642</c:v>
                </c:pt>
                <c:pt idx="4">
                  <c:v>1016.0647694999997</c:v>
                </c:pt>
                <c:pt idx="5">
                  <c:v>1212.2263125000002</c:v>
                </c:pt>
                <c:pt idx="6">
                  <c:v>4458</c:v>
                </c:pt>
                <c:pt idx="7" formatCode="General">
                  <c:v>9154.1383213333302</c:v>
                </c:pt>
                <c:pt idx="8" formatCode="General">
                  <c:v>33357.507779833337</c:v>
                </c:pt>
              </c:numCache>
            </c:numRef>
          </c:xVal>
          <c:yVal>
            <c:numRef>
              <c:f>'Analog summary'!$M$19:$M$27</c:f>
              <c:numCache>
                <c:formatCode>0%</c:formatCode>
                <c:ptCount val="9"/>
                <c:pt idx="1">
                  <c:v>0.12516129032258067</c:v>
                </c:pt>
                <c:pt idx="2">
                  <c:v>0.10139784946236559</c:v>
                </c:pt>
                <c:pt idx="3">
                  <c:v>9.6559139784946235E-2</c:v>
                </c:pt>
                <c:pt idx="4" formatCode="0.0%">
                  <c:v>4.5806451612903226E-2</c:v>
                </c:pt>
                <c:pt idx="6" formatCode="0.0%">
                  <c:v>5.2043010752688176E-2</c:v>
                </c:pt>
                <c:pt idx="7" formatCode="0.0%">
                  <c:v>4.9892473118279573E-2</c:v>
                </c:pt>
                <c:pt idx="8" formatCode="0.0%">
                  <c:v>4.4623655913978495E-2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'Analog summary'!$F$19:$F$27</c15:f>
                <c15:dlblRangeCache>
                  <c:ptCount val="9"/>
                  <c:pt idx="0">
                    <c:v>480</c:v>
                  </c:pt>
                  <c:pt idx="1">
                    <c:v>690</c:v>
                  </c:pt>
                  <c:pt idx="2">
                    <c:v>730</c:v>
                  </c:pt>
                  <c:pt idx="3">
                    <c:v>895</c:v>
                  </c:pt>
                  <c:pt idx="4">
                    <c:v>990</c:v>
                  </c:pt>
                  <c:pt idx="5">
                    <c:v>1050</c:v>
                  </c:pt>
                  <c:pt idx="6">
                    <c:v>1570</c:v>
                  </c:pt>
                  <c:pt idx="7">
                    <c:v>2060</c:v>
                  </c:pt>
                  <c:pt idx="8">
                    <c:v>3170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AF91-4341-97C0-2D84AA2457BE}"/>
            </c:ext>
          </c:extLst>
        </c:ser>
        <c:ser>
          <c:idx val="3"/>
          <c:order val="8"/>
          <c:tx>
            <c:v>Au Sept 2023</c:v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 w="22225"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'Analog summary'!$M$46:$M$48</c:f>
                <c:numCache>
                  <c:formatCode>General</c:formatCode>
                  <c:ptCount val="3"/>
                  <c:pt idx="0">
                    <c:v>3.9122052341663667E-2</c:v>
                  </c:pt>
                  <c:pt idx="1">
                    <c:v>2.2634497647375688E-2</c:v>
                  </c:pt>
                  <c:pt idx="2">
                    <c:v>4.40286996088134E-2</c:v>
                  </c:pt>
                </c:numCache>
              </c:numRef>
            </c:plus>
            <c:minus>
              <c:numRef>
                <c:f>'Analog summary'!$M$46:$M$48</c:f>
                <c:numCache>
                  <c:formatCode>General</c:formatCode>
                  <c:ptCount val="3"/>
                  <c:pt idx="0">
                    <c:v>3.9122052341663667E-2</c:v>
                  </c:pt>
                  <c:pt idx="1">
                    <c:v>2.2634497647375688E-2</c:v>
                  </c:pt>
                  <c:pt idx="2">
                    <c:v>4.40286996088134E-2</c:v>
                  </c:pt>
                </c:numCache>
              </c:numRef>
            </c:minus>
            <c:spPr>
              <a:ln w="12700"/>
            </c:spPr>
          </c:errBars>
          <c:xVal>
            <c:numRef>
              <c:f>'Analog summary'!$G$46:$G$48</c:f>
              <c:numCache>
                <c:formatCode>_(* #,##0_);_(* \(#,##0\);_(* "-"??_);_(@_)</c:formatCode>
                <c:ptCount val="3"/>
                <c:pt idx="0">
                  <c:v>2.1827142000000004</c:v>
                </c:pt>
                <c:pt idx="1">
                  <c:v>10.105158333333335</c:v>
                </c:pt>
                <c:pt idx="2">
                  <c:v>80.841266666666684</c:v>
                </c:pt>
              </c:numCache>
            </c:numRef>
          </c:xVal>
          <c:yVal>
            <c:numRef>
              <c:f>'Analog summary'!$L$46:$L$48</c:f>
              <c:numCache>
                <c:formatCode>0%</c:formatCode>
                <c:ptCount val="3"/>
                <c:pt idx="0">
                  <c:v>0.31355555555555553</c:v>
                </c:pt>
                <c:pt idx="1">
                  <c:v>0.32095238095238093</c:v>
                </c:pt>
                <c:pt idx="2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AF91-4341-97C0-2D84AA2457BE}"/>
            </c:ext>
          </c:extLst>
        </c:ser>
        <c:ser>
          <c:idx val="4"/>
          <c:order val="9"/>
          <c:tx>
            <c:v>SiO2 Sept 2023</c:v>
          </c:tx>
          <c:spPr>
            <a:ln w="19050">
              <a:noFill/>
            </a:ln>
          </c:spPr>
          <c:marker>
            <c:symbol val="triangle"/>
            <c:size val="10"/>
            <c:spPr>
              <a:solidFill>
                <a:srgbClr val="0000FF"/>
              </a:solidFill>
              <a:ln w="25400">
                <a:solidFill>
                  <a:srgbClr val="0000FF"/>
                </a:solidFill>
              </a:ln>
            </c:spPr>
          </c:marker>
          <c:dLbls>
            <c:dLbl>
              <c:idx val="0"/>
              <c:layout>
                <c:manualLayout>
                  <c:x val="-2.9815253180773552E-2"/>
                  <c:y val="-6.7734926014564698E-2"/>
                </c:manualLayout>
              </c:layout>
              <c:tx>
                <c:rich>
                  <a:bodyPr/>
                  <a:lstStyle/>
                  <a:p>
                    <a:fld id="{19AB16DF-6685-4DD5-8A01-08778C7C89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AF91-4341-97C0-2D84AA2457BE}"/>
                </c:ext>
              </c:extLst>
            </c:dLbl>
            <c:dLbl>
              <c:idx val="1"/>
              <c:layout>
                <c:manualLayout>
                  <c:x val="-3.1366499294436107E-2"/>
                  <c:y val="-8.745491913360233E-2"/>
                </c:manualLayout>
              </c:layout>
              <c:tx>
                <c:rich>
                  <a:bodyPr/>
                  <a:lstStyle/>
                  <a:p>
                    <a:fld id="{88224766-B4B6-4410-9788-1E1E83F25C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AF91-4341-97C0-2D84AA2457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DC591DD-0D9A-4977-8D92-467F6FB346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F91-4341-97C0-2D84AA2457B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F91-4341-97C0-2D84AA2457B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F91-4341-97C0-2D84AA2457B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F91-4341-97C0-2D84AA245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rgbClr val="0000FF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'Analog summary'!$M$49:$M$54</c:f>
                <c:numCache>
                  <c:formatCode>General</c:formatCode>
                  <c:ptCount val="6"/>
                  <c:pt idx="0">
                    <c:v>2.0157677485048243E-2</c:v>
                  </c:pt>
                  <c:pt idx="1">
                    <c:v>1.8244190311157683E-2</c:v>
                  </c:pt>
                  <c:pt idx="2">
                    <c:v>8.60535450753043E-3</c:v>
                  </c:pt>
                  <c:pt idx="3">
                    <c:v>9.1342674719791881E-3</c:v>
                  </c:pt>
                  <c:pt idx="4">
                    <c:v>3.9065630121503554E-3</c:v>
                  </c:pt>
                  <c:pt idx="5">
                    <c:v>3.7288038366379895E-3</c:v>
                  </c:pt>
                </c:numCache>
              </c:numRef>
            </c:plus>
            <c:minus>
              <c:numRef>
                <c:f>'Analog summary'!$M$49:$M$54</c:f>
                <c:numCache>
                  <c:formatCode>General</c:formatCode>
                  <c:ptCount val="6"/>
                  <c:pt idx="0">
                    <c:v>2.0157677485048243E-2</c:v>
                  </c:pt>
                  <c:pt idx="1">
                    <c:v>1.8244190311157683E-2</c:v>
                  </c:pt>
                  <c:pt idx="2">
                    <c:v>8.60535450753043E-3</c:v>
                  </c:pt>
                  <c:pt idx="3">
                    <c:v>9.1342674719791881E-3</c:v>
                  </c:pt>
                  <c:pt idx="4">
                    <c:v>3.9065630121503554E-3</c:v>
                  </c:pt>
                  <c:pt idx="5">
                    <c:v>3.7288038366379895E-3</c:v>
                  </c:pt>
                </c:numCache>
              </c:numRef>
            </c:minus>
            <c:spPr>
              <a:ln w="12700"/>
            </c:spPr>
          </c:errBars>
          <c:xVal>
            <c:numRef>
              <c:f>'Analog summary'!$G$49:$G$54</c:f>
              <c:numCache>
                <c:formatCode>_(* #,##0_);_(* \(#,##0\);_(* "-"??_);_(@_)</c:formatCode>
                <c:ptCount val="6"/>
                <c:pt idx="0">
                  <c:v>115.808256</c:v>
                </c:pt>
                <c:pt idx="1">
                  <c:v>448</c:v>
                </c:pt>
                <c:pt idx="2">
                  <c:v>1016.0647694999997</c:v>
                </c:pt>
                <c:pt idx="3">
                  <c:v>4458</c:v>
                </c:pt>
                <c:pt idx="4">
                  <c:v>9154.1383213333302</c:v>
                </c:pt>
                <c:pt idx="5">
                  <c:v>33357.507779833337</c:v>
                </c:pt>
              </c:numCache>
            </c:numRef>
          </c:xVal>
          <c:yVal>
            <c:numRef>
              <c:f>'Analog summary'!$L$49:$L$54</c:f>
              <c:numCache>
                <c:formatCode>0%</c:formatCode>
                <c:ptCount val="6"/>
                <c:pt idx="0">
                  <c:v>0.29948148148148152</c:v>
                </c:pt>
                <c:pt idx="1">
                  <c:v>0.28392592592592597</c:v>
                </c:pt>
                <c:pt idx="2">
                  <c:v>0.1771851851851852</c:v>
                </c:pt>
                <c:pt idx="3">
                  <c:v>9.8518518518518519E-2</c:v>
                </c:pt>
                <c:pt idx="4">
                  <c:v>7.5688888888888889E-2</c:v>
                </c:pt>
                <c:pt idx="5">
                  <c:v>3.9037037037037037E-2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'Analog summary'!$F$49:$F$54</c15:f>
                <c15:dlblRangeCache>
                  <c:ptCount val="6"/>
                  <c:pt idx="0">
                    <c:v>480</c:v>
                  </c:pt>
                  <c:pt idx="1">
                    <c:v>730</c:v>
                  </c:pt>
                  <c:pt idx="2">
                    <c:v>990</c:v>
                  </c:pt>
                  <c:pt idx="3">
                    <c:v>1570</c:v>
                  </c:pt>
                  <c:pt idx="4">
                    <c:v>2060</c:v>
                  </c:pt>
                  <c:pt idx="5">
                    <c:v>3170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F-AF91-4341-97C0-2D84AA245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294848"/>
        <c:axId val="1865313952"/>
      </c:scatterChart>
      <c:valAx>
        <c:axId val="1858294848"/>
        <c:scaling>
          <c:logBase val="10"/>
          <c:orientation val="minMax"/>
          <c:max val="14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Mass (fg) of each particle</a:t>
                </a:r>
              </a:p>
            </c:rich>
          </c:tx>
          <c:layout>
            <c:manualLayout>
              <c:xMode val="edge"/>
              <c:yMode val="edge"/>
              <c:x val="0.3700211246935679"/>
              <c:y val="0.87880395978464332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1865313952"/>
        <c:crosses val="autoZero"/>
        <c:crossBetween val="midCat"/>
      </c:valAx>
      <c:valAx>
        <c:axId val="1865313952"/>
        <c:scaling>
          <c:orientation val="minMax"/>
          <c:max val="0.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Particle</a:t>
                </a:r>
                <a:r>
                  <a:rPr lang="en-US" sz="1600" baseline="0"/>
                  <a:t> Transport Efficiency</a:t>
                </a:r>
                <a:endParaRPr lang="en-US" sz="1600"/>
              </a:p>
            </c:rich>
          </c:tx>
          <c:overlay val="0"/>
        </c:title>
        <c:numFmt formatCode="0%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1858294848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72632367481876"/>
          <c:y val="3.6569392717238185E-2"/>
          <c:w val="0.78015528778311738"/>
          <c:h val="0.75185650175494723"/>
        </c:manualLayout>
      </c:layout>
      <c:scatterChart>
        <c:scatterStyle val="lineMarker"/>
        <c:varyColors val="0"/>
        <c:ser>
          <c:idx val="5"/>
          <c:order val="0"/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'Analog summary'!$N$2:$N$6</c:f>
                <c:numCache>
                  <c:formatCode>General</c:formatCode>
                  <c:ptCount val="5"/>
                  <c:pt idx="0">
                    <c:v>7.5458191110171473E-3</c:v>
                  </c:pt>
                  <c:pt idx="1">
                    <c:v>7.9813893195804109E-3</c:v>
                  </c:pt>
                  <c:pt idx="2">
                    <c:v>1.3327261885086605E-2</c:v>
                  </c:pt>
                  <c:pt idx="3">
                    <c:v>8.5171537297451753E-3</c:v>
                  </c:pt>
                  <c:pt idx="4">
                    <c:v>0</c:v>
                  </c:pt>
                </c:numCache>
              </c:numRef>
            </c:plus>
            <c:minus>
              <c:numRef>
                <c:f>'Analog summary'!$N$2:$N$6</c:f>
                <c:numCache>
                  <c:formatCode>General</c:formatCode>
                  <c:ptCount val="5"/>
                  <c:pt idx="0">
                    <c:v>7.5458191110171473E-3</c:v>
                  </c:pt>
                  <c:pt idx="1">
                    <c:v>7.9813893195804109E-3</c:v>
                  </c:pt>
                  <c:pt idx="2">
                    <c:v>1.3327261885086605E-2</c:v>
                  </c:pt>
                  <c:pt idx="3">
                    <c:v>8.5171537297451753E-3</c:v>
                  </c:pt>
                  <c:pt idx="4">
                    <c:v>0</c:v>
                  </c:pt>
                </c:numCache>
              </c:numRef>
            </c:minus>
            <c:spPr>
              <a:ln w="9525"/>
            </c:spPr>
          </c:errBars>
          <c:xVal>
            <c:numRef>
              <c:f>'Analog summary'!$F$2:$F$6</c:f>
              <c:numCache>
                <c:formatCode>General</c:formatCode>
                <c:ptCount val="5"/>
                <c:pt idx="0">
                  <c:v>60</c:v>
                </c:pt>
                <c:pt idx="1">
                  <c:v>80</c:v>
                </c:pt>
                <c:pt idx="2">
                  <c:v>150</c:v>
                </c:pt>
                <c:pt idx="3">
                  <c:v>200</c:v>
                </c:pt>
                <c:pt idx="4">
                  <c:v>500</c:v>
                </c:pt>
              </c:numCache>
            </c:numRef>
          </c:xVal>
          <c:yVal>
            <c:numRef>
              <c:f>'Analog summary'!$M$2:$M$6</c:f>
              <c:numCache>
                <c:formatCode>0.0%</c:formatCode>
                <c:ptCount val="5"/>
                <c:pt idx="0">
                  <c:v>0.21104838709677418</c:v>
                </c:pt>
                <c:pt idx="1">
                  <c:v>0.20870967741935484</c:v>
                </c:pt>
                <c:pt idx="2">
                  <c:v>0.21139784946236562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AF91-4341-97C0-2D84AA2457BE}"/>
            </c:ext>
          </c:extLst>
        </c:ser>
        <c:ser>
          <c:idx val="6"/>
          <c:order val="1"/>
          <c:spPr>
            <a:ln w="19050">
              <a:noFill/>
            </a:ln>
          </c:spPr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'Analog summary'!$G$15:$G$16</c:f>
              <c:numCache>
                <c:formatCode>_(* #,##0_);_(* \(#,##0\);_(* "-"??_);_(@_)</c:formatCode>
                <c:ptCount val="2"/>
                <c:pt idx="0">
                  <c:v>10105.158333333333</c:v>
                </c:pt>
                <c:pt idx="1">
                  <c:v>34104.909374999988</c:v>
                </c:pt>
              </c:numCache>
            </c:numRef>
          </c:xVal>
          <c:yVal>
            <c:numRef>
              <c:f>'Analog summary'!$M$15:$M$16</c:f>
              <c:numCache>
                <c:formatCode>0.0%</c:formatCode>
                <c:ptCount val="2"/>
                <c:pt idx="0">
                  <c:v>5.7266129032258063E-2</c:v>
                </c:pt>
                <c:pt idx="1">
                  <c:v>3.2177419354838706E-2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AF91-4341-97C0-2D84AA2457BE}"/>
            </c:ext>
          </c:extLst>
        </c:ser>
        <c:ser>
          <c:idx val="9"/>
          <c:order val="2"/>
          <c:spPr>
            <a:ln w="1905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'Analog summary'!$M$49:$M$54</c:f>
                <c:numCache>
                  <c:formatCode>General</c:formatCode>
                  <c:ptCount val="6"/>
                  <c:pt idx="0">
                    <c:v>2.0157677485048243E-2</c:v>
                  </c:pt>
                  <c:pt idx="1">
                    <c:v>1.8244190311157683E-2</c:v>
                  </c:pt>
                  <c:pt idx="2">
                    <c:v>8.60535450753043E-3</c:v>
                  </c:pt>
                  <c:pt idx="3">
                    <c:v>9.1342674719791881E-3</c:v>
                  </c:pt>
                  <c:pt idx="4">
                    <c:v>3.9065630121503554E-3</c:v>
                  </c:pt>
                  <c:pt idx="5">
                    <c:v>3.7288038366379895E-3</c:v>
                  </c:pt>
                </c:numCache>
              </c:numRef>
            </c:plus>
            <c:minus>
              <c:numRef>
                <c:f>'Analog summary'!$M$49:$M$54</c:f>
                <c:numCache>
                  <c:formatCode>General</c:formatCode>
                  <c:ptCount val="6"/>
                  <c:pt idx="0">
                    <c:v>2.0157677485048243E-2</c:v>
                  </c:pt>
                  <c:pt idx="1">
                    <c:v>1.8244190311157683E-2</c:v>
                  </c:pt>
                  <c:pt idx="2">
                    <c:v>8.60535450753043E-3</c:v>
                  </c:pt>
                  <c:pt idx="3">
                    <c:v>9.1342674719791881E-3</c:v>
                  </c:pt>
                  <c:pt idx="4">
                    <c:v>3.9065630121503554E-3</c:v>
                  </c:pt>
                  <c:pt idx="5">
                    <c:v>3.7288038366379895E-3</c:v>
                  </c:pt>
                </c:numCache>
              </c:numRef>
            </c:minus>
          </c:errBars>
          <c:xVal>
            <c:numRef>
              <c:f>'Analog summary'!$F$49:$F$54</c:f>
              <c:numCache>
                <c:formatCode>General</c:formatCode>
                <c:ptCount val="6"/>
                <c:pt idx="0">
                  <c:v>480</c:v>
                </c:pt>
                <c:pt idx="1">
                  <c:v>730</c:v>
                </c:pt>
                <c:pt idx="2">
                  <c:v>990</c:v>
                </c:pt>
                <c:pt idx="3">
                  <c:v>1570</c:v>
                </c:pt>
                <c:pt idx="4">
                  <c:v>2060</c:v>
                </c:pt>
                <c:pt idx="5">
                  <c:v>3170</c:v>
                </c:pt>
              </c:numCache>
            </c:numRef>
          </c:xVal>
          <c:yVal>
            <c:numRef>
              <c:f>'Analog summary'!$L$49:$L$54</c:f>
              <c:numCache>
                <c:formatCode>0%</c:formatCode>
                <c:ptCount val="6"/>
                <c:pt idx="0">
                  <c:v>0.29948148148148152</c:v>
                </c:pt>
                <c:pt idx="1">
                  <c:v>0.28392592592592597</c:v>
                </c:pt>
                <c:pt idx="2">
                  <c:v>0.1771851851851852</c:v>
                </c:pt>
                <c:pt idx="3">
                  <c:v>9.8518518518518519E-2</c:v>
                </c:pt>
                <c:pt idx="4">
                  <c:v>7.5688888888888889E-2</c:v>
                </c:pt>
                <c:pt idx="5">
                  <c:v>3.9037037037037037E-2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AF91-4341-97C0-2D84AA2457BE}"/>
            </c:ext>
          </c:extLst>
        </c:ser>
        <c:ser>
          <c:idx val="0"/>
          <c:order val="3"/>
          <c:spPr>
            <a:ln w="19050">
              <a:noFill/>
            </a:ln>
          </c:spPr>
          <c:marker>
            <c:symbol val="circle"/>
            <c:size val="10"/>
            <c:spPr>
              <a:noFill/>
              <a:ln w="25400"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1-4341-97C0-2D84AA2457B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91-4341-97C0-2D84AA2457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91-4341-97C0-2D84AA2457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F91-4341-97C0-2D84AA2457BE}"/>
                </c:ext>
              </c:extLst>
            </c:dLbl>
            <c:dLbl>
              <c:idx val="4"/>
              <c:layout>
                <c:manualLayout>
                  <c:x val="-7.2361061949544128E-3"/>
                  <c:y val="9.4157548488257147E-3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AF91-4341-97C0-2D84AA245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'Analog summary'!$N$2:$N$6</c:f>
                <c:numCache>
                  <c:formatCode>General</c:formatCode>
                  <c:ptCount val="5"/>
                  <c:pt idx="0">
                    <c:v>7.5458191110171473E-3</c:v>
                  </c:pt>
                  <c:pt idx="1">
                    <c:v>7.9813893195804109E-3</c:v>
                  </c:pt>
                  <c:pt idx="2">
                    <c:v>1.3327261885086605E-2</c:v>
                  </c:pt>
                  <c:pt idx="3">
                    <c:v>8.5171537297451753E-3</c:v>
                  </c:pt>
                  <c:pt idx="4">
                    <c:v>0</c:v>
                  </c:pt>
                </c:numCache>
              </c:numRef>
            </c:plus>
            <c:minus>
              <c:numRef>
                <c:f>'Analog summary'!$N$2:$N$6</c:f>
                <c:numCache>
                  <c:formatCode>General</c:formatCode>
                  <c:ptCount val="5"/>
                  <c:pt idx="0">
                    <c:v>7.5458191110171473E-3</c:v>
                  </c:pt>
                  <c:pt idx="1">
                    <c:v>7.9813893195804109E-3</c:v>
                  </c:pt>
                  <c:pt idx="2">
                    <c:v>1.3327261885086605E-2</c:v>
                  </c:pt>
                  <c:pt idx="3">
                    <c:v>8.5171537297451753E-3</c:v>
                  </c:pt>
                  <c:pt idx="4">
                    <c:v>0</c:v>
                  </c:pt>
                </c:numCache>
              </c:numRef>
            </c:minus>
          </c:errBars>
          <c:xVal>
            <c:numRef>
              <c:f>'Analog summary'!$F$2:$F$6</c:f>
              <c:numCache>
                <c:formatCode>General</c:formatCode>
                <c:ptCount val="5"/>
                <c:pt idx="0">
                  <c:v>60</c:v>
                </c:pt>
                <c:pt idx="1">
                  <c:v>80</c:v>
                </c:pt>
                <c:pt idx="2">
                  <c:v>150</c:v>
                </c:pt>
                <c:pt idx="3">
                  <c:v>200</c:v>
                </c:pt>
                <c:pt idx="4">
                  <c:v>500</c:v>
                </c:pt>
              </c:numCache>
            </c:numRef>
          </c:xVal>
          <c:yVal>
            <c:numRef>
              <c:f>'Analog summary'!$M$2:$M$6</c:f>
              <c:numCache>
                <c:formatCode>0.0%</c:formatCode>
                <c:ptCount val="5"/>
                <c:pt idx="0">
                  <c:v>0.21104838709677418</c:v>
                </c:pt>
                <c:pt idx="1">
                  <c:v>0.20870967741935484</c:v>
                </c:pt>
                <c:pt idx="2">
                  <c:v>0.21139784946236562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'Analog summary'!$F$2:$F$6</c15:f>
                <c15:dlblRangeCache>
                  <c:ptCount val="5"/>
                  <c:pt idx="0">
                    <c:v>60</c:v>
                  </c:pt>
                  <c:pt idx="1">
                    <c:v>80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F91-4341-97C0-2D84AA2457BE}"/>
            </c:ext>
          </c:extLst>
        </c:ser>
        <c:ser>
          <c:idx val="1"/>
          <c:order val="4"/>
          <c:spPr>
            <a:ln w="19050">
              <a:noFill/>
            </a:ln>
          </c:spPr>
          <c:marker>
            <c:symbol val="circle"/>
            <c:size val="10"/>
            <c:spPr>
              <a:noFill/>
              <a:ln w="22225"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'Analog summary'!$N$11:$N$16</c:f>
                <c:numCache>
                  <c:formatCode>General</c:formatCode>
                  <c:ptCount val="6"/>
                  <c:pt idx="0">
                    <c:v>4.140197464175082E-2</c:v>
                  </c:pt>
                  <c:pt idx="1">
                    <c:v>3.920142094382284E-2</c:v>
                  </c:pt>
                  <c:pt idx="2">
                    <c:v>3.2888687497048721E-2</c:v>
                  </c:pt>
                  <c:pt idx="3">
                    <c:v>7.1428571428571425E-2</c:v>
                  </c:pt>
                  <c:pt idx="4">
                    <c:v>5.9884286182016536E-3</c:v>
                  </c:pt>
                  <c:pt idx="5">
                    <c:v>3.0483870967741933E-3</c:v>
                  </c:pt>
                </c:numCache>
              </c:numRef>
            </c:plus>
            <c:minus>
              <c:numRef>
                <c:f>'Analog summary'!$N$11:$N$16</c:f>
                <c:numCache>
                  <c:formatCode>General</c:formatCode>
                  <c:ptCount val="6"/>
                  <c:pt idx="0">
                    <c:v>4.140197464175082E-2</c:v>
                  </c:pt>
                  <c:pt idx="1">
                    <c:v>3.920142094382284E-2</c:v>
                  </c:pt>
                  <c:pt idx="2">
                    <c:v>3.2888687497048721E-2</c:v>
                  </c:pt>
                  <c:pt idx="3">
                    <c:v>7.1428571428571425E-2</c:v>
                  </c:pt>
                  <c:pt idx="4">
                    <c:v>5.9884286182016536E-3</c:v>
                  </c:pt>
                  <c:pt idx="5">
                    <c:v>3.0483870967741933E-3</c:v>
                  </c:pt>
                </c:numCache>
              </c:numRef>
            </c:minus>
            <c:spPr>
              <a:ln w="12700"/>
            </c:spPr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'Analog summary'!$F$15:$F$16</c:f>
              <c:numCache>
                <c:formatCode>General</c:formatCode>
                <c:ptCount val="2"/>
                <c:pt idx="0">
                  <c:v>1000</c:v>
                </c:pt>
                <c:pt idx="1">
                  <c:v>1500</c:v>
                </c:pt>
              </c:numCache>
            </c:numRef>
          </c:xVal>
          <c:yVal>
            <c:numRef>
              <c:f>'Analog summary'!$M$15:$M$16</c:f>
              <c:numCache>
                <c:formatCode>0.0%</c:formatCode>
                <c:ptCount val="2"/>
                <c:pt idx="0">
                  <c:v>5.7266129032258063E-2</c:v>
                </c:pt>
                <c:pt idx="1">
                  <c:v>3.2177419354838706E-2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F91-4341-97C0-2D84AA2457BE}"/>
            </c:ext>
          </c:extLst>
        </c:ser>
        <c:ser>
          <c:idx val="2"/>
          <c:order val="5"/>
          <c:spPr>
            <a:ln w="19050">
              <a:noFill/>
            </a:ln>
          </c:spPr>
          <c:marker>
            <c:symbol val="triangle"/>
            <c:size val="10"/>
            <c:spPr>
              <a:noFill/>
              <a:ln w="25400">
                <a:solidFill>
                  <a:srgbClr val="0000FF"/>
                </a:solidFill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'Analog summary'!$N$19:$N$27</c:f>
                <c:numCache>
                  <c:formatCode>General</c:formatCode>
                  <c:ptCount val="9"/>
                  <c:pt idx="0">
                    <c:v>0.68798823577884516</c:v>
                  </c:pt>
                  <c:pt idx="1">
                    <c:v>2.9914898372566776E-3</c:v>
                  </c:pt>
                  <c:pt idx="2">
                    <c:v>1.8499624230199172E-3</c:v>
                  </c:pt>
                  <c:pt idx="3">
                    <c:v>1.351591945158768E-3</c:v>
                  </c:pt>
                  <c:pt idx="4">
                    <c:v>1.8437019569335761E-3</c:v>
                  </c:pt>
                  <c:pt idx="5">
                    <c:v>3.1903142349787028E-2</c:v>
                  </c:pt>
                  <c:pt idx="6">
                    <c:v>9.9716327908555991E-4</c:v>
                  </c:pt>
                  <c:pt idx="7">
                    <c:v>2.3753464553090868E-3</c:v>
                  </c:pt>
                  <c:pt idx="8">
                    <c:v>1.9768576678333596E-3</c:v>
                  </c:pt>
                </c:numCache>
              </c:numRef>
            </c:plus>
            <c:minus>
              <c:numRef>
                <c:f>'Analog summary'!$N$19:$N$27</c:f>
                <c:numCache>
                  <c:formatCode>General</c:formatCode>
                  <c:ptCount val="9"/>
                  <c:pt idx="0">
                    <c:v>0.68798823577884516</c:v>
                  </c:pt>
                  <c:pt idx="1">
                    <c:v>2.9914898372566776E-3</c:v>
                  </c:pt>
                  <c:pt idx="2">
                    <c:v>1.8499624230199172E-3</c:v>
                  </c:pt>
                  <c:pt idx="3">
                    <c:v>1.351591945158768E-3</c:v>
                  </c:pt>
                  <c:pt idx="4">
                    <c:v>1.8437019569335761E-3</c:v>
                  </c:pt>
                  <c:pt idx="5">
                    <c:v>3.1903142349787028E-2</c:v>
                  </c:pt>
                  <c:pt idx="6">
                    <c:v>9.9716327908555991E-4</c:v>
                  </c:pt>
                  <c:pt idx="7">
                    <c:v>2.3753464553090868E-3</c:v>
                  </c:pt>
                  <c:pt idx="8">
                    <c:v>1.9768576678333596E-3</c:v>
                  </c:pt>
                </c:numCache>
              </c:numRef>
            </c:minus>
          </c:errBars>
          <c:errBars>
            <c:errDir val="y"/>
            <c:errBarType val="both"/>
            <c:errValType val="stdErr"/>
            <c:noEndCap val="0"/>
            <c:spPr>
              <a:ln w="12700"/>
            </c:spPr>
          </c:errBars>
          <c:xVal>
            <c:numRef>
              <c:f>'Analog summary'!$F$19:$F$27</c:f>
              <c:numCache>
                <c:formatCode>General</c:formatCode>
                <c:ptCount val="9"/>
                <c:pt idx="0">
                  <c:v>480</c:v>
                </c:pt>
                <c:pt idx="1">
                  <c:v>690</c:v>
                </c:pt>
                <c:pt idx="2">
                  <c:v>730</c:v>
                </c:pt>
                <c:pt idx="3">
                  <c:v>895</c:v>
                </c:pt>
                <c:pt idx="4">
                  <c:v>990</c:v>
                </c:pt>
                <c:pt idx="5">
                  <c:v>1050</c:v>
                </c:pt>
                <c:pt idx="6">
                  <c:v>1570</c:v>
                </c:pt>
                <c:pt idx="7">
                  <c:v>2060</c:v>
                </c:pt>
                <c:pt idx="8">
                  <c:v>3170</c:v>
                </c:pt>
              </c:numCache>
            </c:numRef>
          </c:xVal>
          <c:yVal>
            <c:numRef>
              <c:f>'Analog summary'!$M$19:$M$27</c:f>
              <c:numCache>
                <c:formatCode>0%</c:formatCode>
                <c:ptCount val="9"/>
                <c:pt idx="1">
                  <c:v>0.12516129032258067</c:v>
                </c:pt>
                <c:pt idx="2">
                  <c:v>0.10139784946236559</c:v>
                </c:pt>
                <c:pt idx="3">
                  <c:v>9.6559139784946235E-2</c:v>
                </c:pt>
                <c:pt idx="4" formatCode="0.0%">
                  <c:v>4.5806451612903226E-2</c:v>
                </c:pt>
                <c:pt idx="6" formatCode="0.0%">
                  <c:v>5.2043010752688176E-2</c:v>
                </c:pt>
                <c:pt idx="7" formatCode="0.0%">
                  <c:v>4.9892473118279573E-2</c:v>
                </c:pt>
                <c:pt idx="8" formatCode="0.0%">
                  <c:v>4.4623655913978495E-2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F91-4341-97C0-2D84AA2457BE}"/>
            </c:ext>
          </c:extLst>
        </c:ser>
        <c:ser>
          <c:idx val="3"/>
          <c:order val="6"/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 w="22225"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'Analog summary'!$M$46:$M$48</c:f>
                <c:numCache>
                  <c:formatCode>General</c:formatCode>
                  <c:ptCount val="3"/>
                  <c:pt idx="0">
                    <c:v>3.9122052341663667E-2</c:v>
                  </c:pt>
                  <c:pt idx="1">
                    <c:v>2.2634497647375688E-2</c:v>
                  </c:pt>
                  <c:pt idx="2">
                    <c:v>4.40286996088134E-2</c:v>
                  </c:pt>
                </c:numCache>
              </c:numRef>
            </c:plus>
            <c:minus>
              <c:numRef>
                <c:f>'Analog summary'!$M$46:$M$48</c:f>
                <c:numCache>
                  <c:formatCode>General</c:formatCode>
                  <c:ptCount val="3"/>
                  <c:pt idx="0">
                    <c:v>3.9122052341663667E-2</c:v>
                  </c:pt>
                  <c:pt idx="1">
                    <c:v>2.2634497647375688E-2</c:v>
                  </c:pt>
                  <c:pt idx="2">
                    <c:v>4.40286996088134E-2</c:v>
                  </c:pt>
                </c:numCache>
              </c:numRef>
            </c:minus>
            <c:spPr>
              <a:ln w="12700"/>
            </c:spPr>
          </c:errBars>
          <c:xVal>
            <c:numRef>
              <c:f>'Analog summary'!$F$46:$F$48</c:f>
              <c:numCache>
                <c:formatCode>General</c:formatCode>
                <c:ptCount val="3"/>
                <c:pt idx="0">
                  <c:v>60</c:v>
                </c:pt>
                <c:pt idx="1">
                  <c:v>100</c:v>
                </c:pt>
                <c:pt idx="2">
                  <c:v>200</c:v>
                </c:pt>
              </c:numCache>
            </c:numRef>
          </c:xVal>
          <c:yVal>
            <c:numRef>
              <c:f>'Analog summary'!$L$46:$L$48</c:f>
              <c:numCache>
                <c:formatCode>0%</c:formatCode>
                <c:ptCount val="3"/>
                <c:pt idx="0">
                  <c:v>0.31355555555555553</c:v>
                </c:pt>
                <c:pt idx="1">
                  <c:v>0.32095238095238093</c:v>
                </c:pt>
                <c:pt idx="2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AF91-4341-97C0-2D84AA2457BE}"/>
            </c:ext>
          </c:extLst>
        </c:ser>
        <c:ser>
          <c:idx val="4"/>
          <c:order val="7"/>
          <c:spPr>
            <a:ln w="19050">
              <a:noFill/>
            </a:ln>
          </c:spPr>
          <c:marker>
            <c:symbol val="triangle"/>
            <c:size val="10"/>
            <c:spPr>
              <a:solidFill>
                <a:srgbClr val="0000FF"/>
              </a:solidFill>
              <a:ln w="25400">
                <a:solidFill>
                  <a:srgbClr val="0000FF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'Analog summary'!$M$49:$M$54</c:f>
                <c:numCache>
                  <c:formatCode>General</c:formatCode>
                  <c:ptCount val="6"/>
                  <c:pt idx="0">
                    <c:v>2.0157677485048243E-2</c:v>
                  </c:pt>
                  <c:pt idx="1">
                    <c:v>1.8244190311157683E-2</c:v>
                  </c:pt>
                  <c:pt idx="2">
                    <c:v>8.60535450753043E-3</c:v>
                  </c:pt>
                  <c:pt idx="3">
                    <c:v>9.1342674719791881E-3</c:v>
                  </c:pt>
                  <c:pt idx="4">
                    <c:v>3.9065630121503554E-3</c:v>
                  </c:pt>
                  <c:pt idx="5">
                    <c:v>3.7288038366379895E-3</c:v>
                  </c:pt>
                </c:numCache>
              </c:numRef>
            </c:plus>
            <c:minus>
              <c:numRef>
                <c:f>'Analog summary'!$M$49:$M$54</c:f>
                <c:numCache>
                  <c:formatCode>General</c:formatCode>
                  <c:ptCount val="6"/>
                  <c:pt idx="0">
                    <c:v>2.0157677485048243E-2</c:v>
                  </c:pt>
                  <c:pt idx="1">
                    <c:v>1.8244190311157683E-2</c:v>
                  </c:pt>
                  <c:pt idx="2">
                    <c:v>8.60535450753043E-3</c:v>
                  </c:pt>
                  <c:pt idx="3">
                    <c:v>9.1342674719791881E-3</c:v>
                  </c:pt>
                  <c:pt idx="4">
                    <c:v>3.9065630121503554E-3</c:v>
                  </c:pt>
                  <c:pt idx="5">
                    <c:v>3.7288038366379895E-3</c:v>
                  </c:pt>
                </c:numCache>
              </c:numRef>
            </c:minus>
            <c:spPr>
              <a:ln w="12700"/>
            </c:spPr>
          </c:errBars>
          <c:xVal>
            <c:numRef>
              <c:f>'Analog summary'!$F$49:$F$54</c:f>
              <c:numCache>
                <c:formatCode>General</c:formatCode>
                <c:ptCount val="6"/>
                <c:pt idx="0">
                  <c:v>480</c:v>
                </c:pt>
                <c:pt idx="1">
                  <c:v>730</c:v>
                </c:pt>
                <c:pt idx="2">
                  <c:v>990</c:v>
                </c:pt>
                <c:pt idx="3">
                  <c:v>1570</c:v>
                </c:pt>
                <c:pt idx="4">
                  <c:v>2060</c:v>
                </c:pt>
                <c:pt idx="5">
                  <c:v>3170</c:v>
                </c:pt>
              </c:numCache>
            </c:numRef>
          </c:xVal>
          <c:yVal>
            <c:numRef>
              <c:f>'Analog summary'!$L$49:$L$54</c:f>
              <c:numCache>
                <c:formatCode>0%</c:formatCode>
                <c:ptCount val="6"/>
                <c:pt idx="0">
                  <c:v>0.29948148148148152</c:v>
                </c:pt>
                <c:pt idx="1">
                  <c:v>0.28392592592592597</c:v>
                </c:pt>
                <c:pt idx="2">
                  <c:v>0.1771851851851852</c:v>
                </c:pt>
                <c:pt idx="3">
                  <c:v>9.8518518518518519E-2</c:v>
                </c:pt>
                <c:pt idx="4">
                  <c:v>7.5688888888888889E-2</c:v>
                </c:pt>
                <c:pt idx="5">
                  <c:v>3.9037037037037037E-2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AF91-4341-97C0-2D84AA245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294848"/>
        <c:axId val="1865313952"/>
      </c:scatterChart>
      <c:valAx>
        <c:axId val="1858294848"/>
        <c:scaling>
          <c:logBase val="10"/>
          <c:orientation val="minMax"/>
          <c:max val="4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Particle diameter (nm)</a:t>
                </a:r>
              </a:p>
            </c:rich>
          </c:tx>
          <c:layout>
            <c:manualLayout>
              <c:xMode val="edge"/>
              <c:yMode val="edge"/>
              <c:x val="0.3700211246935679"/>
              <c:y val="0.87880395978464332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1865313952"/>
        <c:crosses val="autoZero"/>
        <c:crossBetween val="midCat"/>
      </c:valAx>
      <c:valAx>
        <c:axId val="1865313952"/>
        <c:scaling>
          <c:orientation val="minMax"/>
          <c:max val="0.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Particle</a:t>
                </a:r>
                <a:r>
                  <a:rPr lang="en-US" sz="1600" baseline="0"/>
                  <a:t> Transport Efficiency</a:t>
                </a:r>
                <a:endParaRPr lang="en-US" sz="1600"/>
              </a:p>
            </c:rich>
          </c:tx>
          <c:overlay val="0"/>
        </c:title>
        <c:numFmt formatCode="0%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1600"/>
            </a:pPr>
            <a:endParaRPr lang="en-US"/>
          </a:p>
        </c:txPr>
        <c:crossAx val="1858294848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</c:spPr>
          </c:marker>
          <c:dPt>
            <c:idx val="3"/>
            <c:marker>
              <c:spPr>
                <a:noFill/>
                <a:ln w="1905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24-4811-9EB3-F41FB592CE4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35B0EF8-E85B-4697-89B4-189543E5E2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724-4811-9EB3-F41FB592CE4F}"/>
                </c:ext>
              </c:extLst>
            </c:dLbl>
            <c:dLbl>
              <c:idx val="1"/>
              <c:layout>
                <c:manualLayout>
                  <c:x val="-2.7972222222222221E-2"/>
                  <c:y val="-6.2974628171478558E-2"/>
                </c:manualLayout>
              </c:layout>
              <c:tx>
                <c:rich>
                  <a:bodyPr/>
                  <a:lstStyle/>
                  <a:p>
                    <a:fld id="{9AE14020-CD02-4068-81E5-55E4EF4BDB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724-4811-9EB3-F41FB592CE4F}"/>
                </c:ext>
              </c:extLst>
            </c:dLbl>
            <c:dLbl>
              <c:idx val="2"/>
              <c:layout>
                <c:manualLayout>
                  <c:x val="-4.4584426946631672E-3"/>
                  <c:y val="-2.7894429862934649E-3"/>
                </c:manualLayout>
              </c:layout>
              <c:tx>
                <c:rich>
                  <a:bodyPr/>
                  <a:lstStyle/>
                  <a:p>
                    <a:fld id="{1DBC41E0-9E18-4055-9761-6672487538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724-4811-9EB3-F41FB592CE4F}"/>
                </c:ext>
              </c:extLst>
            </c:dLbl>
            <c:dLbl>
              <c:idx val="3"/>
              <c:layout>
                <c:manualLayout>
                  <c:x val="-4.4584426946631672E-3"/>
                  <c:y val="-1.2048702245552554E-2"/>
                </c:manualLayout>
              </c:layout>
              <c:tx>
                <c:rich>
                  <a:bodyPr/>
                  <a:lstStyle/>
                  <a:p>
                    <a:fld id="{6E9CFC61-41AA-42E3-9022-29289BDEEC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724-4811-9EB3-F41FB592CE4F}"/>
                </c:ext>
              </c:extLst>
            </c:dLbl>
            <c:dLbl>
              <c:idx val="4"/>
              <c:layout>
                <c:manualLayout>
                  <c:x val="1.0971128608923885E-3"/>
                  <c:y val="-4.4456109652960089E-2"/>
                </c:manualLayout>
              </c:layout>
              <c:tx>
                <c:rich>
                  <a:bodyPr/>
                  <a:lstStyle/>
                  <a:p>
                    <a:fld id="{1D0EFDDC-7A8D-4E86-92D1-4EEA43F41C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724-4811-9EB3-F41FB592CE4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'Pulse summary'!$U$10:$U$14</c:f>
              <c:numCache>
                <c:formatCode>_(* #,##0_);_(* \(#,##0\);_(* "-"??_);_(@_)</c:formatCode>
                <c:ptCount val="5"/>
                <c:pt idx="0">
                  <c:v>2.1827142000000004</c:v>
                </c:pt>
                <c:pt idx="1">
                  <c:v>5.1738410666666663</c:v>
                </c:pt>
                <c:pt idx="2">
                  <c:v>34.104909374999998</c:v>
                </c:pt>
                <c:pt idx="3">
                  <c:v>80.841266666666684</c:v>
                </c:pt>
                <c:pt idx="4">
                  <c:v>1263.1447916666666</c:v>
                </c:pt>
              </c:numCache>
            </c:numRef>
          </c:xVal>
          <c:yVal>
            <c:numRef>
              <c:f>'Pulse summary'!$W$10:$W$14</c:f>
              <c:numCache>
                <c:formatCode>_(* #,##0_);_(* \(#,##0\);_(* "-"??_);_(@_)</c:formatCode>
                <c:ptCount val="5"/>
                <c:pt idx="0">
                  <c:v>17.264037855388601</c:v>
                </c:pt>
                <c:pt idx="1">
                  <c:v>27.866598156820999</c:v>
                </c:pt>
                <c:pt idx="2">
                  <c:v>188.46875510104499</c:v>
                </c:pt>
                <c:pt idx="3">
                  <c:v>239.27288979818135</c:v>
                </c:pt>
                <c:pt idx="4">
                  <c:v>96.869439161606167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'Pulse summary'!$F$10:$F$16</c15:f>
                <c15:dlblRangeCache>
                  <c:ptCount val="7"/>
                  <c:pt idx="0">
                    <c:v>60</c:v>
                  </c:pt>
                  <c:pt idx="1">
                    <c:v>80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500</c:v>
                  </c:pt>
                  <c:pt idx="5">
                    <c:v>1000</c:v>
                  </c:pt>
                  <c:pt idx="6">
                    <c:v>1500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724-4811-9EB3-F41FB592CE4F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trendline>
            <c:trendlineType val="linear"/>
            <c:forward val="40000"/>
            <c:dispRSqr val="0"/>
            <c:dispEq val="1"/>
            <c:trendlineLbl>
              <c:layout>
                <c:manualLayout>
                  <c:x val="-0.39523775153105861"/>
                  <c:y val="-1.810440361621464E-2"/>
                </c:manualLayout>
              </c:layout>
              <c:numFmt formatCode="#,##0.00" sourceLinked="0"/>
            </c:trendlineLbl>
          </c:trendline>
          <c:xVal>
            <c:numRef>
              <c:f>'Pulse summary'!$U$10:$U$12</c:f>
              <c:numCache>
                <c:formatCode>_(* #,##0_);_(* \(#,##0\);_(* "-"??_);_(@_)</c:formatCode>
                <c:ptCount val="3"/>
                <c:pt idx="0">
                  <c:v>2.1827142000000004</c:v>
                </c:pt>
                <c:pt idx="1">
                  <c:v>5.1738410666666663</c:v>
                </c:pt>
                <c:pt idx="2">
                  <c:v>34.104909374999998</c:v>
                </c:pt>
              </c:numCache>
            </c:numRef>
          </c:xVal>
          <c:yVal>
            <c:numRef>
              <c:f>'Pulse summary'!$W$10:$W$12</c:f>
              <c:numCache>
                <c:formatCode>_(* #,##0_);_(* \(#,##0\);_(* "-"??_);_(@_)</c:formatCode>
                <c:ptCount val="3"/>
                <c:pt idx="0">
                  <c:v>17.264037855388601</c:v>
                </c:pt>
                <c:pt idx="1">
                  <c:v>27.866598156820999</c:v>
                </c:pt>
                <c:pt idx="2">
                  <c:v>188.46875510104499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724-4811-9EB3-F41FB592CE4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858294848"/>
        <c:axId val="1865313952"/>
      </c:scatterChart>
      <c:valAx>
        <c:axId val="18582948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mass (fg)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65313952"/>
        <c:crosses val="autoZero"/>
        <c:crossBetween val="midCat"/>
      </c:valAx>
      <c:valAx>
        <c:axId val="1865313952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intensity (counts)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5829484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4666666666666695E-2"/>
                  <c:y val="-5.9374817731117031E-2"/>
                </c:manualLayout>
              </c:layout>
              <c:tx>
                <c:rich>
                  <a:bodyPr/>
                  <a:lstStyle/>
                  <a:p>
                    <a:fld id="{2D8DF5BE-B383-4E4D-9480-E7189BACAC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206-4AAA-AA94-D12284211A95}"/>
                </c:ext>
              </c:extLst>
            </c:dLbl>
            <c:dLbl>
              <c:idx val="1"/>
              <c:layout>
                <c:manualLayout>
                  <c:x val="-2.7972222222222221E-2"/>
                  <c:y val="-8.6122776319626712E-2"/>
                </c:manualLayout>
              </c:layout>
              <c:tx>
                <c:rich>
                  <a:bodyPr/>
                  <a:lstStyle/>
                  <a:p>
                    <a:fld id="{2A3300E5-2DCF-45CF-9802-D3A9376A91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206-4AAA-AA94-D12284211A95}"/>
                </c:ext>
              </c:extLst>
            </c:dLbl>
            <c:dLbl>
              <c:idx val="2"/>
              <c:layout>
                <c:manualLayout>
                  <c:x val="-4.4584426946631672E-3"/>
                  <c:y val="-2.7894429862934649E-3"/>
                </c:manualLayout>
              </c:layout>
              <c:tx>
                <c:rich>
                  <a:bodyPr/>
                  <a:lstStyle/>
                  <a:p>
                    <a:fld id="{2CB4F03A-9BB7-411D-A55B-F37748FBD1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206-4AAA-AA94-D12284211A95}"/>
                </c:ext>
              </c:extLst>
            </c:dLbl>
            <c:dLbl>
              <c:idx val="3"/>
              <c:layout>
                <c:manualLayout>
                  <c:x val="-4.4584426946631672E-3"/>
                  <c:y val="-1.2048702245552554E-2"/>
                </c:manualLayout>
              </c:layout>
              <c:tx>
                <c:rich>
                  <a:bodyPr/>
                  <a:lstStyle/>
                  <a:p>
                    <a:fld id="{CC5C0AC4-81A7-4429-8BF7-1F8F971072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206-4AAA-AA94-D12284211A95}"/>
                </c:ext>
              </c:extLst>
            </c:dLbl>
            <c:dLbl>
              <c:idx val="4"/>
              <c:layout>
                <c:manualLayout>
                  <c:x val="1.0971128608923885E-3"/>
                  <c:y val="-4.4456109652960089E-2"/>
                </c:manualLayout>
              </c:layout>
              <c:tx>
                <c:rich>
                  <a:bodyPr/>
                  <a:lstStyle/>
                  <a:p>
                    <a:fld id="{6D51C146-48F3-45CB-A567-60EB983646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206-4AAA-AA94-D12284211A95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'Pulse summary'!$U$2:$U$6</c:f>
              <c:numCache>
                <c:formatCode>_(* #,##0_);_(* \(#,##0\);_(* "-"??_);_(@_)</c:formatCode>
                <c:ptCount val="5"/>
                <c:pt idx="0">
                  <c:v>2.1827142000000004</c:v>
                </c:pt>
                <c:pt idx="1">
                  <c:v>5.1738410666666663</c:v>
                </c:pt>
                <c:pt idx="2">
                  <c:v>34.104909374999998</c:v>
                </c:pt>
                <c:pt idx="3">
                  <c:v>80.841266666666684</c:v>
                </c:pt>
                <c:pt idx="4">
                  <c:v>1263.1447916666666</c:v>
                </c:pt>
              </c:numCache>
            </c:numRef>
          </c:xVal>
          <c:yVal>
            <c:numRef>
              <c:f>'Pulse summary'!$W$2:$W$6</c:f>
              <c:numCache>
                <c:formatCode>_(* #,##0_);_(* \(#,##0\);_(* "-"??_);_(@_)</c:formatCode>
                <c:ptCount val="5"/>
                <c:pt idx="0">
                  <c:v>129.77946310721666</c:v>
                </c:pt>
                <c:pt idx="1">
                  <c:v>260.60865095244168</c:v>
                </c:pt>
                <c:pt idx="2">
                  <c:v>2478.7479029712235</c:v>
                </c:pt>
                <c:pt idx="3">
                  <c:v>134.16190868254066</c:v>
                </c:pt>
                <c:pt idx="4">
                  <c:v>147.46992579405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'Pulse summary'!$F$10:$F$16</c15:f>
                <c15:dlblRangeCache>
                  <c:ptCount val="7"/>
                  <c:pt idx="0">
                    <c:v>60</c:v>
                  </c:pt>
                  <c:pt idx="1">
                    <c:v>80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500</c:v>
                  </c:pt>
                  <c:pt idx="5">
                    <c:v>1000</c:v>
                  </c:pt>
                  <c:pt idx="6">
                    <c:v>1500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4206-4AAA-AA94-D12284211A95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'Pulse summary'!$U$3:$U$4</c:f>
              <c:numCache>
                <c:formatCode>_(* #,##0_);_(* \(#,##0\);_(* "-"??_);_(@_)</c:formatCode>
                <c:ptCount val="2"/>
                <c:pt idx="0">
                  <c:v>5.1738410666666663</c:v>
                </c:pt>
                <c:pt idx="1">
                  <c:v>34.104909374999998</c:v>
                </c:pt>
              </c:numCache>
            </c:numRef>
          </c:xVal>
          <c:yVal>
            <c:numRef>
              <c:f>'Pulse summary'!$W$3:$W$4</c:f>
              <c:numCache>
                <c:formatCode>_(* #,##0_);_(* \(#,##0\);_(* "-"??_);_(@_)</c:formatCode>
                <c:ptCount val="2"/>
                <c:pt idx="0">
                  <c:v>260.60865095244168</c:v>
                </c:pt>
                <c:pt idx="1">
                  <c:v>2478.7479029712235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206-4AAA-AA94-D12284211A9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858294848"/>
        <c:axId val="1865313952"/>
      </c:scatterChart>
      <c:valAx>
        <c:axId val="18582948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mass (fg)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65313952"/>
        <c:crosses val="autoZero"/>
        <c:crossBetween val="midCat"/>
      </c:valAx>
      <c:valAx>
        <c:axId val="1865313952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intensity (counts)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5829484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v>Pulse normal</c:v>
          </c:tx>
          <c:spPr>
            <a:ln w="19050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0CE2EB0-9C95-4849-B5F8-AD100C32CC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E6A-4426-AC7C-E2FE15F024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4149E74-240F-4C8D-9353-7866E84BFB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E6A-4426-AC7C-E2FE15F024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6AEF229-4325-4382-8E02-827FD2121B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E6A-4426-AC7C-E2FE15F024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CBD5ED5-B0EB-40DF-8984-A644C1F061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E6A-4426-AC7C-E2FE15F024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3BED146-57AE-4482-8076-49800F269F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E6A-4426-AC7C-E2FE15F0248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'Pulse summary'!$U$2:$U$6</c:f>
              <c:numCache>
                <c:formatCode>_(* #,##0_);_(* \(#,##0\);_(* "-"??_);_(@_)</c:formatCode>
                <c:ptCount val="5"/>
                <c:pt idx="0">
                  <c:v>2.1827142000000004</c:v>
                </c:pt>
                <c:pt idx="1">
                  <c:v>5.1738410666666663</c:v>
                </c:pt>
                <c:pt idx="2">
                  <c:v>34.104909374999998</c:v>
                </c:pt>
                <c:pt idx="3">
                  <c:v>80.841266666666684</c:v>
                </c:pt>
                <c:pt idx="4">
                  <c:v>1263.1447916666666</c:v>
                </c:pt>
              </c:numCache>
            </c:numRef>
          </c:xVal>
          <c:yVal>
            <c:numRef>
              <c:f>'Pulse summary'!$Z$2:$Z$6</c:f>
              <c:numCache>
                <c:formatCode>0%</c:formatCode>
                <c:ptCount val="5"/>
                <c:pt idx="0">
                  <c:v>0.18849462365591399</c:v>
                </c:pt>
                <c:pt idx="1">
                  <c:v>0.20365591397849453</c:v>
                </c:pt>
                <c:pt idx="2">
                  <c:v>0.20806451612903226</c:v>
                </c:pt>
                <c:pt idx="3">
                  <c:v>0.10559139784946235</c:v>
                </c:pt>
                <c:pt idx="4">
                  <c:v>2.1827956989247312E-2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'Pulse summary'!$T$2:$T$6</c15:f>
                <c15:dlblRangeCache>
                  <c:ptCount val="5"/>
                  <c:pt idx="0">
                    <c:v>60</c:v>
                  </c:pt>
                  <c:pt idx="1">
                    <c:v>80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AE6A-4426-AC7C-E2FE15F0248C}"/>
            </c:ext>
          </c:extLst>
        </c:ser>
        <c:ser>
          <c:idx val="3"/>
          <c:order val="1"/>
          <c:tx>
            <c:v>Pulse reduced</c:v>
          </c:tx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FF0000"/>
              </a:solidFill>
              <a:ln w="6350">
                <a:solidFill>
                  <a:schemeClr val="tx1"/>
                </a:solidFill>
              </a:ln>
            </c:spPr>
          </c:marker>
          <c:dLbls>
            <c:delete val="1"/>
          </c:dLbls>
          <c:xVal>
            <c:numRef>
              <c:f>'Pulse summary'!$U$12:$U$14</c:f>
              <c:numCache>
                <c:formatCode>_(* #,##0_);_(* \(#,##0\);_(* "-"??_);_(@_)</c:formatCode>
                <c:ptCount val="3"/>
                <c:pt idx="0">
                  <c:v>34.104909374999998</c:v>
                </c:pt>
                <c:pt idx="1">
                  <c:v>80.841266666666684</c:v>
                </c:pt>
                <c:pt idx="2">
                  <c:v>1263.1447916666666</c:v>
                </c:pt>
              </c:numCache>
            </c:numRef>
          </c:xVal>
          <c:yVal>
            <c:numRef>
              <c:f>'Pulse summary'!$Z$12:$Z$14</c:f>
              <c:numCache>
                <c:formatCode>0%</c:formatCode>
                <c:ptCount val="3"/>
                <c:pt idx="0">
                  <c:v>0.18301075268817207</c:v>
                </c:pt>
                <c:pt idx="1">
                  <c:v>0.10161290322580645</c:v>
                </c:pt>
                <c:pt idx="2">
                  <c:v>1.6021505376344086E-2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E6A-4426-AC7C-E2FE15F0248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858294848"/>
        <c:axId val="1865313952"/>
      </c:scatterChart>
      <c:valAx>
        <c:axId val="185829484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mass (fg)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65313952"/>
        <c:crosses val="autoZero"/>
        <c:crossBetween val="midCat"/>
      </c:valAx>
      <c:valAx>
        <c:axId val="18653139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intensity (counts)</a:t>
                </a:r>
              </a:p>
            </c:rich>
          </c:tx>
          <c:overlay val="0"/>
        </c:title>
        <c:numFmt formatCode="0%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5829484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6333333333333336E-2"/>
                  <c:y val="-8.2522965879265095E-2"/>
                </c:manualLayout>
              </c:layout>
              <c:tx>
                <c:rich>
                  <a:bodyPr/>
                  <a:lstStyle/>
                  <a:p>
                    <a:fld id="{24EFC59C-AEC6-4017-93D3-1624F88735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8C1-458F-85C5-454D2328F184}"/>
                </c:ext>
              </c:extLst>
            </c:dLbl>
            <c:dLbl>
              <c:idx val="1"/>
              <c:layout>
                <c:manualLayout>
                  <c:x val="-2.972222222222222E-3"/>
                  <c:y val="-1.2048702245552639E-2"/>
                </c:manualLayout>
              </c:layout>
              <c:tx>
                <c:rich>
                  <a:bodyPr/>
                  <a:lstStyle/>
                  <a:p>
                    <a:fld id="{F5D783B8-20BA-44EB-8774-BA3EBB15EC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8C1-458F-85C5-454D2328F184}"/>
                </c:ext>
              </c:extLst>
            </c:dLbl>
            <c:dLbl>
              <c:idx val="2"/>
              <c:layout>
                <c:manualLayout>
                  <c:x val="-4.4584426946631672E-3"/>
                  <c:y val="-2.7894429862934649E-3"/>
                </c:manualLayout>
              </c:layout>
              <c:tx>
                <c:rich>
                  <a:bodyPr/>
                  <a:lstStyle/>
                  <a:p>
                    <a:fld id="{C8B33180-1217-499B-82FB-C4D2150439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8C1-458F-85C5-454D2328F184}"/>
                </c:ext>
              </c:extLst>
            </c:dLbl>
            <c:dLbl>
              <c:idx val="3"/>
              <c:layout>
                <c:manualLayout>
                  <c:x val="-4.4584426946631672E-3"/>
                  <c:y val="-1.2048702245552554E-2"/>
                </c:manualLayout>
              </c:layout>
              <c:tx>
                <c:rich>
                  <a:bodyPr/>
                  <a:lstStyle/>
                  <a:p>
                    <a:fld id="{0F6D11EE-F811-4D83-AC76-DA26C1113E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8C1-458F-85C5-454D2328F184}"/>
                </c:ext>
              </c:extLst>
            </c:dLbl>
            <c:dLbl>
              <c:idx val="4"/>
              <c:layout>
                <c:manualLayout>
                  <c:x val="1.0971128608923885E-3"/>
                  <c:y val="-4.4456109652960089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C8C1-458F-85C5-454D2328F18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'Pulse summary'!$G$2:$G$5</c:f>
              <c:numCache>
                <c:formatCode>_(* #,##0_);_(* \(#,##0\);_(* "-"??_);_(@_)</c:formatCode>
                <c:ptCount val="4"/>
                <c:pt idx="0">
                  <c:v>2.1827142000000004</c:v>
                </c:pt>
                <c:pt idx="1">
                  <c:v>5.1738410666666663</c:v>
                </c:pt>
                <c:pt idx="2">
                  <c:v>34.104909374999998</c:v>
                </c:pt>
                <c:pt idx="3">
                  <c:v>80.841266666666684</c:v>
                </c:pt>
              </c:numCache>
            </c:numRef>
          </c:xVal>
          <c:yVal>
            <c:numRef>
              <c:f>'Pulse summary'!$I$2:$I$5</c:f>
              <c:numCache>
                <c:formatCode>_(* #,##0_);_(* \(#,##0\);_(* "-"??_);_(@_)</c:formatCode>
                <c:ptCount val="4"/>
                <c:pt idx="0">
                  <c:v>129.72236275053774</c:v>
                </c:pt>
                <c:pt idx="1">
                  <c:v>339.13740668602003</c:v>
                </c:pt>
                <c:pt idx="2">
                  <c:v>2654.6178504106001</c:v>
                </c:pt>
                <c:pt idx="3">
                  <c:v>6233.0500582378199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'Pulse summary'!$F$10:$F$16</c15:f>
                <c15:dlblRangeCache>
                  <c:ptCount val="7"/>
                  <c:pt idx="0">
                    <c:v>60</c:v>
                  </c:pt>
                  <c:pt idx="1">
                    <c:v>80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500</c:v>
                  </c:pt>
                  <c:pt idx="5">
                    <c:v>1000</c:v>
                  </c:pt>
                  <c:pt idx="6">
                    <c:v>1500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C8C1-458F-85C5-454D2328F184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trendline>
            <c:trendlineType val="linear"/>
            <c:forward val="40000"/>
            <c:dispRSqr val="0"/>
            <c:dispEq val="1"/>
            <c:trendlineLbl>
              <c:layout>
                <c:manualLayout>
                  <c:x val="-0.52823600174978125"/>
                  <c:y val="-2.0023330417031204E-2"/>
                </c:manualLayout>
              </c:layout>
              <c:numFmt formatCode="#,##0.00" sourceLinked="0"/>
            </c:trendlineLbl>
          </c:trendline>
          <c:xVal>
            <c:numRef>
              <c:f>'Pulse summary'!$G$2:$G$3</c:f>
              <c:numCache>
                <c:formatCode>_(* #,##0_);_(* \(#,##0\);_(* "-"??_);_(@_)</c:formatCode>
                <c:ptCount val="2"/>
                <c:pt idx="0">
                  <c:v>2.1827142000000004</c:v>
                </c:pt>
                <c:pt idx="1">
                  <c:v>5.1738410666666663</c:v>
                </c:pt>
              </c:numCache>
            </c:numRef>
          </c:xVal>
          <c:yVal>
            <c:numRef>
              <c:f>'Pulse summary'!$I$2:$I$3</c:f>
              <c:numCache>
                <c:formatCode>_(* #,##0_);_(* \(#,##0\);_(* "-"??_);_(@_)</c:formatCode>
                <c:ptCount val="2"/>
                <c:pt idx="0">
                  <c:v>129.72236275053774</c:v>
                </c:pt>
                <c:pt idx="1">
                  <c:v>339.13740668602003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8C1-458F-85C5-454D2328F18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858294848"/>
        <c:axId val="1865313952"/>
      </c:scatterChart>
      <c:valAx>
        <c:axId val="185829484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mass (fg)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65313952"/>
        <c:crosses val="autoZero"/>
        <c:crossBetween val="midCat"/>
      </c:valAx>
      <c:valAx>
        <c:axId val="1865313952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intensity (counts)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5829484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triangle"/>
            <c:size val="8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</c:spPr>
          </c:marker>
          <c:dPt>
            <c:idx val="3"/>
            <c:marker>
              <c:spPr>
                <a:noFill/>
                <a:ln w="1905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0C6-4F7C-BF2A-80A4086F194B}"/>
              </c:ext>
            </c:extLst>
          </c:dPt>
          <c:dPt>
            <c:idx val="4"/>
            <c:marker>
              <c:spPr>
                <a:noFill/>
                <a:ln w="1905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C6-4F7C-BF2A-80A4086F194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C6-4F7C-BF2A-80A4086F19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C6-4F7C-BF2A-80A4086F194B}"/>
                </c:ext>
              </c:extLst>
            </c:dLbl>
            <c:dLbl>
              <c:idx val="2"/>
              <c:layout>
                <c:manualLayout>
                  <c:x val="-4.4584426946631672E-3"/>
                  <c:y val="-2.7894429862934649E-3"/>
                </c:manualLayout>
              </c:layout>
              <c:tx>
                <c:rich>
                  <a:bodyPr/>
                  <a:lstStyle/>
                  <a:p>
                    <a:fld id="{9D13662E-8DDD-4C7C-9E4A-B089AD0E06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0C6-4F7C-BF2A-80A4086F194B}"/>
                </c:ext>
              </c:extLst>
            </c:dLbl>
            <c:dLbl>
              <c:idx val="3"/>
              <c:layout>
                <c:manualLayout>
                  <c:x val="-4.4584426946631672E-3"/>
                  <c:y val="-1.2048702245552554E-2"/>
                </c:manualLayout>
              </c:layout>
              <c:tx>
                <c:rich>
                  <a:bodyPr/>
                  <a:lstStyle/>
                  <a:p>
                    <a:fld id="{4800C897-C75C-4087-B5FE-05780D6CEB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0C6-4F7C-BF2A-80A4086F194B}"/>
                </c:ext>
              </c:extLst>
            </c:dLbl>
            <c:dLbl>
              <c:idx val="4"/>
              <c:layout>
                <c:manualLayout>
                  <c:x val="1.0971128608923885E-3"/>
                  <c:y val="-4.4456109652960089E-2"/>
                </c:manualLayout>
              </c:layout>
              <c:tx>
                <c:rich>
                  <a:bodyPr/>
                  <a:lstStyle/>
                  <a:p>
                    <a:fld id="{7CABFBE4-64DE-4FED-8973-88EADFEA25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0C6-4F7C-BF2A-80A4086F194B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'Pulse summary'!$U$10:$U$14</c:f>
              <c:numCache>
                <c:formatCode>_(* #,##0_);_(* \(#,##0\);_(* "-"??_);_(@_)</c:formatCode>
                <c:ptCount val="5"/>
                <c:pt idx="0">
                  <c:v>2.1827142000000004</c:v>
                </c:pt>
                <c:pt idx="1">
                  <c:v>5.1738410666666663</c:v>
                </c:pt>
                <c:pt idx="2">
                  <c:v>34.104909374999998</c:v>
                </c:pt>
                <c:pt idx="3">
                  <c:v>80.841266666666684</c:v>
                </c:pt>
                <c:pt idx="4">
                  <c:v>1263.1447916666666</c:v>
                </c:pt>
              </c:numCache>
            </c:numRef>
          </c:xVal>
          <c:yVal>
            <c:numRef>
              <c:f>'Pulse summary'!$W$10:$W$14</c:f>
              <c:numCache>
                <c:formatCode>_(* #,##0_);_(* \(#,##0\);_(* "-"??_);_(@_)</c:formatCode>
                <c:ptCount val="5"/>
                <c:pt idx="0">
                  <c:v>17.264037855388601</c:v>
                </c:pt>
                <c:pt idx="1">
                  <c:v>27.866598156820999</c:v>
                </c:pt>
                <c:pt idx="2">
                  <c:v>188.46875510104499</c:v>
                </c:pt>
                <c:pt idx="3">
                  <c:v>239.27288979818135</c:v>
                </c:pt>
                <c:pt idx="4">
                  <c:v>96.869439161606167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'Pulse summary'!$F$10:$F$16</c15:f>
                <c15:dlblRangeCache>
                  <c:ptCount val="7"/>
                  <c:pt idx="0">
                    <c:v>60</c:v>
                  </c:pt>
                  <c:pt idx="1">
                    <c:v>80</c:v>
                  </c:pt>
                  <c:pt idx="2">
                    <c:v>150</c:v>
                  </c:pt>
                  <c:pt idx="3">
                    <c:v>200</c:v>
                  </c:pt>
                  <c:pt idx="4">
                    <c:v>500</c:v>
                  </c:pt>
                  <c:pt idx="5">
                    <c:v>1000</c:v>
                  </c:pt>
                  <c:pt idx="6">
                    <c:v>1500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60C6-4F7C-BF2A-80A4086F194B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trendline>
            <c:trendlineType val="linear"/>
            <c:forward val="40000"/>
            <c:backward val="1000"/>
            <c:dispRSqr val="0"/>
            <c:dispEq val="1"/>
            <c:trendlineLbl>
              <c:layout>
                <c:manualLayout>
                  <c:x val="-0.39523775153105861"/>
                  <c:y val="-1.810440361621464E-2"/>
                </c:manualLayout>
              </c:layout>
              <c:numFmt formatCode="#,##0.00" sourceLinked="0"/>
            </c:trendlineLbl>
          </c:trendline>
          <c:xVal>
            <c:numRef>
              <c:f>'Pulse summary'!$U$10:$U$12</c:f>
              <c:numCache>
                <c:formatCode>_(* #,##0_);_(* \(#,##0\);_(* "-"??_);_(@_)</c:formatCode>
                <c:ptCount val="3"/>
                <c:pt idx="0">
                  <c:v>2.1827142000000004</c:v>
                </c:pt>
                <c:pt idx="1">
                  <c:v>5.1738410666666663</c:v>
                </c:pt>
                <c:pt idx="2">
                  <c:v>34.104909374999998</c:v>
                </c:pt>
              </c:numCache>
            </c:numRef>
          </c:xVal>
          <c:yVal>
            <c:numRef>
              <c:f>'Pulse summary'!$W$10:$W$12</c:f>
              <c:numCache>
                <c:formatCode>_(* #,##0_);_(* \(#,##0\);_(* "-"??_);_(@_)</c:formatCode>
                <c:ptCount val="3"/>
                <c:pt idx="0">
                  <c:v>17.264037855388601</c:v>
                </c:pt>
                <c:pt idx="1">
                  <c:v>27.866598156820999</c:v>
                </c:pt>
                <c:pt idx="2">
                  <c:v>188.46875510104499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0C6-4F7C-BF2A-80A4086F194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858294848"/>
        <c:axId val="1865313952"/>
      </c:scatterChart>
      <c:valAx>
        <c:axId val="1858294848"/>
        <c:scaling>
          <c:orientation val="minMax"/>
          <c:max val="1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mass (fg)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65313952"/>
        <c:crosses val="autoZero"/>
        <c:crossBetween val="midCat"/>
      </c:valAx>
      <c:valAx>
        <c:axId val="186531395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 particle intensity (counts)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5829484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741712</xdr:colOff>
      <xdr:row>26</xdr:row>
      <xdr:rowOff>75104</xdr:rowOff>
    </xdr:from>
    <xdr:to>
      <xdr:col>27</xdr:col>
      <xdr:colOff>553212</xdr:colOff>
      <xdr:row>42</xdr:row>
      <xdr:rowOff>158032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E5A838-E428-8F9B-C0C5-A0E94524B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520926</xdr:colOff>
      <xdr:row>44</xdr:row>
      <xdr:rowOff>95863</xdr:rowOff>
    </xdr:from>
    <xdr:to>
      <xdr:col>27</xdr:col>
      <xdr:colOff>331450</xdr:colOff>
      <xdr:row>59</xdr:row>
      <xdr:rowOff>185141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26333A-D26F-F5CC-4766-15B08AFC6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0.58552</cdr:x>
      <cdr:y>0.19357</cdr:y>
    </cdr:from>
    <cdr:to>
      <cdr:x>0.66659</cdr:x>
      <cdr:y>0.25947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3A3B6248-08B2-B0D5-8FA8-CDAB4AC90161}"/>
            </a:ext>
          </a:extLst>
        </cdr:cNvPr>
        <cdr:cNvSpPr txBox="1"/>
      </cdr:nvSpPr>
      <cdr:spPr>
        <a:xfrm xmlns:a="http://schemas.openxmlformats.org/drawingml/2006/main">
          <a:off x="3421570" y="641811"/>
          <a:ext cx="473741" cy="218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dirty="0"/>
            <a:t>nm</a:t>
          </a:r>
        </a:p>
      </cdr:txBody>
    </cdr:sp>
  </cdr:relSizeAnchor>
  <cdr:relSizeAnchor xmlns:cdr="http://schemas.openxmlformats.org/drawingml/2006/chartDrawing">
    <cdr:from>
      <cdr:x>0.17545</cdr:x>
      <cdr:y>0.11822</cdr:y>
    </cdr:from>
    <cdr:to>
      <cdr:x>0.22523</cdr:x>
      <cdr:y>0.21165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68D20BF-D953-A4F4-2926-8CBB47E7BA3F}"/>
            </a:ext>
          </a:extLst>
        </cdr:cNvPr>
        <cdr:cNvSpPr txBox="1"/>
      </cdr:nvSpPr>
      <cdr:spPr>
        <a:xfrm xmlns:a="http://schemas.openxmlformats.org/drawingml/2006/main">
          <a:off x="1024976" y="391776"/>
          <a:ext cx="290810" cy="309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rgbClr val="FF0000"/>
              </a:solidFill>
            </a:rPr>
            <a:t>60</a:t>
          </a:r>
        </a:p>
      </cdr:txBody>
    </cdr:sp>
  </cdr:relSizeAnchor>
  <cdr:relSizeAnchor xmlns:cdr="http://schemas.openxmlformats.org/drawingml/2006/chartDrawing">
    <cdr:from>
      <cdr:x>0.26092</cdr:x>
      <cdr:y>0.12014</cdr:y>
    </cdr:from>
    <cdr:to>
      <cdr:x>0.3107</cdr:x>
      <cdr:y>0.21357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2CD36145-FEDF-0507-62B2-A80BAC00779B}"/>
            </a:ext>
          </a:extLst>
        </cdr:cNvPr>
        <cdr:cNvSpPr txBox="1"/>
      </cdr:nvSpPr>
      <cdr:spPr>
        <a:xfrm xmlns:a="http://schemas.openxmlformats.org/drawingml/2006/main">
          <a:off x="1524284" y="398139"/>
          <a:ext cx="290810" cy="309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rgbClr val="FF0000"/>
              </a:solidFill>
            </a:rPr>
            <a:t>100</a:t>
          </a:r>
        </a:p>
      </cdr:txBody>
    </cdr:sp>
  </cdr:relSizeAnchor>
  <cdr:relSizeAnchor xmlns:cdr="http://schemas.openxmlformats.org/drawingml/2006/chartDrawing">
    <cdr:from>
      <cdr:x>0.38065</cdr:x>
      <cdr:y>0.11867</cdr:y>
    </cdr:from>
    <cdr:to>
      <cdr:x>0.43043</cdr:x>
      <cdr:y>0.2121</cdr:y>
    </cdr:to>
    <cdr:sp macro="" textlink="">
      <cdr:nvSpPr>
        <cdr:cNvPr id="9" name="TextBox 3">
          <a:extLst xmlns:a="http://schemas.openxmlformats.org/drawingml/2006/main">
            <a:ext uri="{FF2B5EF4-FFF2-40B4-BE49-F238E27FC236}">
              <a16:creationId xmlns:a16="http://schemas.microsoft.com/office/drawing/2014/main" id="{13397A9D-5EFD-C915-1F88-1ED01C959D42}"/>
            </a:ext>
          </a:extLst>
        </cdr:cNvPr>
        <cdr:cNvSpPr txBox="1"/>
      </cdr:nvSpPr>
      <cdr:spPr>
        <a:xfrm xmlns:a="http://schemas.openxmlformats.org/drawingml/2006/main">
          <a:off x="2223735" y="393267"/>
          <a:ext cx="290810" cy="309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rgbClr val="FF0000"/>
              </a:solidFill>
            </a:rPr>
            <a:t>200</a:t>
          </a:r>
        </a:p>
      </cdr:txBody>
    </cdr:sp>
  </cdr:relSizeAnchor>
  <cdr:relSizeAnchor xmlns:cdr="http://schemas.openxmlformats.org/drawingml/2006/chartDrawing">
    <cdr:from>
      <cdr:x>0.58324</cdr:x>
      <cdr:y>0.57531</cdr:y>
    </cdr:from>
    <cdr:to>
      <cdr:x>0.63302</cdr:x>
      <cdr:y>0.66874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DE3E3968-E7DD-7CB2-ED9E-EE2A488E2E60}"/>
            </a:ext>
          </a:extLst>
        </cdr:cNvPr>
        <cdr:cNvSpPr txBox="1"/>
      </cdr:nvSpPr>
      <cdr:spPr>
        <a:xfrm xmlns:a="http://schemas.openxmlformats.org/drawingml/2006/main">
          <a:off x="3407248" y="1906567"/>
          <a:ext cx="290810" cy="309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rgbClr val="0000FF"/>
              </a:solidFill>
            </a:rPr>
            <a:t>895</a:t>
          </a:r>
        </a:p>
      </cdr:txBody>
    </cdr:sp>
  </cdr:relSizeAnchor>
  <cdr:relSizeAnchor xmlns:cdr="http://schemas.openxmlformats.org/drawingml/2006/chartDrawing">
    <cdr:from>
      <cdr:x>0.64661</cdr:x>
      <cdr:y>0.70761</cdr:y>
    </cdr:from>
    <cdr:to>
      <cdr:x>0.69639</cdr:x>
      <cdr:y>0.80104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B4FBF7FC-6132-7C4E-8969-82BB7FBC0750}"/>
            </a:ext>
          </a:extLst>
        </cdr:cNvPr>
        <cdr:cNvSpPr txBox="1"/>
      </cdr:nvSpPr>
      <cdr:spPr>
        <a:xfrm xmlns:a="http://schemas.openxmlformats.org/drawingml/2006/main">
          <a:off x="3777427" y="2344995"/>
          <a:ext cx="290810" cy="309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rgbClr val="0000FF"/>
              </a:solidFill>
            </a:rPr>
            <a:t>1570</a:t>
          </a:r>
        </a:p>
      </cdr:txBody>
    </cdr:sp>
  </cdr:relSizeAnchor>
  <cdr:relSizeAnchor xmlns:cdr="http://schemas.openxmlformats.org/drawingml/2006/chartDrawing">
    <cdr:from>
      <cdr:x>0.72418</cdr:x>
      <cdr:y>0.70491</cdr:y>
    </cdr:from>
    <cdr:to>
      <cdr:x>0.77396</cdr:x>
      <cdr:y>0.79834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ECF037CB-7CC3-F543-380C-406253B9FCA0}"/>
            </a:ext>
          </a:extLst>
        </cdr:cNvPr>
        <cdr:cNvSpPr txBox="1"/>
      </cdr:nvSpPr>
      <cdr:spPr>
        <a:xfrm xmlns:a="http://schemas.openxmlformats.org/drawingml/2006/main">
          <a:off x="4230616" y="2336042"/>
          <a:ext cx="290810" cy="309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rgbClr val="0000FF"/>
              </a:solidFill>
            </a:rPr>
            <a:t>2060</a:t>
          </a:r>
        </a:p>
      </cdr:txBody>
    </cdr:sp>
  </cdr:relSizeAnchor>
  <cdr:relSizeAnchor xmlns:cdr="http://schemas.openxmlformats.org/drawingml/2006/chartDrawing">
    <cdr:from>
      <cdr:x>0.15657</cdr:x>
      <cdr:y>0.5295</cdr:y>
    </cdr:from>
    <cdr:to>
      <cdr:x>0.33142</cdr:x>
      <cdr:y>0.62293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7F05E951-F04E-C1C2-0781-D8903B28173A}"/>
            </a:ext>
          </a:extLst>
        </cdr:cNvPr>
        <cdr:cNvSpPr txBox="1"/>
      </cdr:nvSpPr>
      <cdr:spPr>
        <a:xfrm xmlns:a="http://schemas.openxmlformats.org/drawingml/2006/main">
          <a:off x="914952" y="1755653"/>
          <a:ext cx="1021726" cy="309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ysClr val="windowText" lastClr="000000"/>
              </a:solidFill>
              <a:latin typeface="+mn-lt"/>
            </a:rPr>
            <a:t>60 </a:t>
          </a:r>
          <a:r>
            <a:rPr lang="en-US" sz="1600">
              <a:solidFill>
                <a:sysClr val="windowText" lastClr="000000"/>
              </a:solidFill>
              <a:latin typeface="+mn-lt"/>
              <a:ea typeface="Calibri" panose="020F0502020204030204" pitchFamily="34" charset="0"/>
              <a:cs typeface="Calibri" panose="020F0502020204030204" pitchFamily="34" charset="0"/>
            </a:rPr>
            <a:t>µL/min</a:t>
          </a:r>
          <a:endParaRPr lang="en-US" sz="1600">
            <a:solidFill>
              <a:sysClr val="windowText" lastClr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0.15642</cdr:x>
      <cdr:y>0.04274</cdr:y>
    </cdr:from>
    <cdr:to>
      <cdr:x>0.3413</cdr:x>
      <cdr:y>0.13616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47EEDD56-928E-60DD-311F-B580E5783B0E}"/>
            </a:ext>
          </a:extLst>
        </cdr:cNvPr>
        <cdr:cNvSpPr txBox="1"/>
      </cdr:nvSpPr>
      <cdr:spPr>
        <a:xfrm xmlns:a="http://schemas.openxmlformats.org/drawingml/2006/main">
          <a:off x="914030" y="141707"/>
          <a:ext cx="1080375" cy="309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ysClr val="windowText" lastClr="000000"/>
              </a:solidFill>
              <a:latin typeface="+mn-lt"/>
            </a:rPr>
            <a:t>27 </a:t>
          </a:r>
          <a:r>
            <a:rPr lang="en-US" sz="1600">
              <a:solidFill>
                <a:sysClr val="windowText" lastClr="000000"/>
              </a:solidFill>
              <a:latin typeface="+mn-lt"/>
              <a:ea typeface="Calibri" panose="020F0502020204030204" pitchFamily="34" charset="0"/>
              <a:cs typeface="Calibri" panose="020F0502020204030204" pitchFamily="34" charset="0"/>
            </a:rPr>
            <a:t>µL/min</a:t>
          </a:r>
          <a:endParaRPr lang="en-US" sz="1600">
            <a:solidFill>
              <a:sysClr val="windowText" lastClr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0.62266</cdr:x>
      <cdr:y>0.38648</cdr:y>
    </cdr:from>
    <cdr:to>
      <cdr:x>0.70373</cdr:x>
      <cdr:y>0.45238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6B6235-F227-F364-822E-A955ED8F1992}"/>
            </a:ext>
          </a:extLst>
        </cdr:cNvPr>
        <cdr:cNvSpPr txBox="1"/>
      </cdr:nvSpPr>
      <cdr:spPr>
        <a:xfrm xmlns:a="http://schemas.openxmlformats.org/drawingml/2006/main">
          <a:off x="3638580" y="1281443"/>
          <a:ext cx="473741" cy="218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dirty="0"/>
            <a:t>nm</a:t>
          </a:r>
        </a:p>
      </cdr:txBody>
    </cdr:sp>
  </cdr:relSizeAnchor>
  <cdr:relSizeAnchor xmlns:cdr="http://schemas.openxmlformats.org/drawingml/2006/chartDrawing">
    <cdr:from>
      <cdr:x>0.79619</cdr:x>
      <cdr:y>0.55549</cdr:y>
    </cdr:from>
    <cdr:to>
      <cdr:x>0.87726</cdr:x>
      <cdr:y>0.62139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C90992D-9997-5739-CCD1-1550BDF2BB98}"/>
            </a:ext>
          </a:extLst>
        </cdr:cNvPr>
        <cdr:cNvSpPr txBox="1"/>
      </cdr:nvSpPr>
      <cdr:spPr>
        <a:xfrm xmlns:a="http://schemas.openxmlformats.org/drawingml/2006/main">
          <a:off x="4652625" y="1841814"/>
          <a:ext cx="473741" cy="218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dirty="0"/>
            <a:t>nm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0.27707</cdr:x>
      <cdr:y>0.5295</cdr:y>
    </cdr:from>
    <cdr:to>
      <cdr:x>0.45192</cdr:x>
      <cdr:y>0.62293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7F05E951-F04E-C1C2-0781-D8903B28173A}"/>
            </a:ext>
          </a:extLst>
        </cdr:cNvPr>
        <cdr:cNvSpPr txBox="1"/>
      </cdr:nvSpPr>
      <cdr:spPr>
        <a:xfrm xmlns:a="http://schemas.openxmlformats.org/drawingml/2006/main">
          <a:off x="1620686" y="1755334"/>
          <a:ext cx="1022764" cy="3097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ysClr val="windowText" lastClr="000000"/>
              </a:solidFill>
              <a:latin typeface="+mn-lt"/>
            </a:rPr>
            <a:t>60 </a:t>
          </a:r>
          <a:r>
            <a:rPr lang="en-US" sz="1600">
              <a:solidFill>
                <a:sysClr val="windowText" lastClr="000000"/>
              </a:solidFill>
              <a:latin typeface="+mn-lt"/>
              <a:ea typeface="Calibri" panose="020F0502020204030204" pitchFamily="34" charset="0"/>
              <a:cs typeface="Calibri" panose="020F0502020204030204" pitchFamily="34" charset="0"/>
            </a:rPr>
            <a:t>µL/min</a:t>
          </a:r>
          <a:endParaRPr lang="en-US" sz="1600">
            <a:solidFill>
              <a:sysClr val="windowText" lastClr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0.28018</cdr:x>
      <cdr:y>0.04274</cdr:y>
    </cdr:from>
    <cdr:to>
      <cdr:x>0.46506</cdr:x>
      <cdr:y>0.13616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47EEDD56-928E-60DD-311F-B580E5783B0E}"/>
            </a:ext>
          </a:extLst>
        </cdr:cNvPr>
        <cdr:cNvSpPr txBox="1"/>
      </cdr:nvSpPr>
      <cdr:spPr>
        <a:xfrm xmlns:a="http://schemas.openxmlformats.org/drawingml/2006/main">
          <a:off x="1638859" y="141686"/>
          <a:ext cx="1081432" cy="309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>
              <a:solidFill>
                <a:sysClr val="windowText" lastClr="000000"/>
              </a:solidFill>
              <a:latin typeface="+mn-lt"/>
            </a:rPr>
            <a:t>27 </a:t>
          </a:r>
          <a:r>
            <a:rPr lang="en-US" sz="1600">
              <a:solidFill>
                <a:sysClr val="windowText" lastClr="000000"/>
              </a:solidFill>
              <a:latin typeface="+mn-lt"/>
              <a:ea typeface="Calibri" panose="020F0502020204030204" pitchFamily="34" charset="0"/>
              <a:cs typeface="Calibri" panose="020F0502020204030204" pitchFamily="34" charset="0"/>
            </a:rPr>
            <a:t>µL/min</a:t>
          </a:r>
          <a:endParaRPr lang="en-US" sz="1600">
            <a:solidFill>
              <a:sysClr val="windowText" lastClr="000000"/>
            </a:solidFill>
            <a:latin typeface="+mn-lt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562586</xdr:colOff>
      <xdr:row>21</xdr:row>
      <xdr:rowOff>148081</xdr:rowOff>
    </xdr:from>
    <xdr:to>
      <xdr:col>15</xdr:col>
      <xdr:colOff>530705</xdr:colOff>
      <xdr:row>35</xdr:row>
      <xdr:rowOff>33781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642170</xdr:colOff>
      <xdr:row>6</xdr:row>
      <xdr:rowOff>19844</xdr:rowOff>
    </xdr:from>
    <xdr:to>
      <xdr:col>15</xdr:col>
      <xdr:colOff>468452</xdr:colOff>
      <xdr:row>17</xdr:row>
      <xdr:rowOff>335426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161192</xdr:colOff>
      <xdr:row>86</xdr:row>
      <xdr:rowOff>366</xdr:rowOff>
    </xdr:from>
    <xdr:to>
      <xdr:col>6</xdr:col>
      <xdr:colOff>180242</xdr:colOff>
      <xdr:row>100</xdr:row>
      <xdr:rowOff>76566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567531</xdr:colOff>
      <xdr:row>28</xdr:row>
      <xdr:rowOff>9298</xdr:rowOff>
    </xdr:from>
    <xdr:to>
      <xdr:col>23</xdr:col>
      <xdr:colOff>262732</xdr:colOff>
      <xdr:row>42</xdr:row>
      <xdr:rowOff>82096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418986</xdr:colOff>
      <xdr:row>15</xdr:row>
      <xdr:rowOff>27100</xdr:rowOff>
    </xdr:from>
    <xdr:to>
      <xdr:col>23</xdr:col>
      <xdr:colOff>355940</xdr:colOff>
      <xdr:row>28</xdr:row>
      <xdr:rowOff>111805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0.18611</cdr:x>
      <cdr:y>0.03588</cdr:y>
    </cdr:from>
    <cdr:to>
      <cdr:x>0.37986</cdr:x>
      <cdr:y>0.22396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5ED39B04-A035-E3BD-3E61-AC30D62DF7A9}"/>
            </a:ext>
          </a:extLst>
        </cdr:cNvPr>
        <cdr:cNvSpPr txBox="1"/>
      </cdr:nvSpPr>
      <cdr:spPr>
        <a:xfrm xmlns:a="http://schemas.openxmlformats.org/drawingml/2006/main">
          <a:off x="850900" y="98425"/>
          <a:ext cx="885825" cy="515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Pulse, reduced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0.79653</cdr:x>
      <cdr:y>0.03936</cdr:y>
    </cdr:from>
    <cdr:to>
      <cdr:x>0.99028</cdr:x>
      <cdr:y>0.22743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8DE1523C-6EAC-48BF-1CBB-A0FD9033D5E4}"/>
            </a:ext>
          </a:extLst>
        </cdr:cNvPr>
        <cdr:cNvSpPr txBox="1"/>
      </cdr:nvSpPr>
      <cdr:spPr>
        <a:xfrm xmlns:a="http://schemas.openxmlformats.org/drawingml/2006/main">
          <a:off x="3641720" y="107963"/>
          <a:ext cx="885825" cy="515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Pulse, normal</a:t>
          </a:r>
        </a:p>
      </cdr:txBody>
    </cdr:sp>
  </cdr:relSizeAnchor>
  <cdr:relSizeAnchor xmlns:cdr="http://schemas.openxmlformats.org/drawingml/2006/chartDrawing">
    <cdr:from>
      <cdr:x>0.77778</cdr:x>
      <cdr:y>0.62963</cdr:y>
    </cdr:from>
    <cdr:to>
      <cdr:x>0.81778</cdr:x>
      <cdr:y>0.6963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631121D5-B3B9-214D-8A25-B43B72AE02F1}"/>
            </a:ext>
          </a:extLst>
        </cdr:cNvPr>
        <cdr:cNvSpPr/>
      </cdr:nvSpPr>
      <cdr:spPr>
        <a:xfrm xmlns:a="http://schemas.openxmlformats.org/drawingml/2006/main">
          <a:off x="3556000" y="1727200"/>
          <a:ext cx="182880" cy="18288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0.59861</cdr:x>
      <cdr:y>0.52546</cdr:y>
    </cdr:from>
    <cdr:to>
      <cdr:x>0.79236</cdr:x>
      <cdr:y>0.71353</cdr:y>
    </cdr:to>
    <cdr:sp macro="" textlink="">
      <cdr:nvSpPr>
        <cdr:cNvPr id="6" name="TextBox 9">
          <a:extLst xmlns:a="http://schemas.openxmlformats.org/drawingml/2006/main">
            <a:ext uri="{FF2B5EF4-FFF2-40B4-BE49-F238E27FC236}">
              <a16:creationId xmlns:a16="http://schemas.microsoft.com/office/drawing/2014/main" id="{29BAADA5-5716-FFA2-5E45-15FE7EF038DA}"/>
            </a:ext>
          </a:extLst>
        </cdr:cNvPr>
        <cdr:cNvSpPr txBox="1"/>
      </cdr:nvSpPr>
      <cdr:spPr>
        <a:xfrm xmlns:a="http://schemas.openxmlformats.org/drawingml/2006/main">
          <a:off x="2736850" y="1441450"/>
          <a:ext cx="885825" cy="515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rgbClr val="FF0000"/>
              </a:solidFill>
            </a:rPr>
            <a:t>Detector saturation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0.57361</cdr:x>
      <cdr:y>0.37963</cdr:y>
    </cdr:from>
    <cdr:to>
      <cdr:x>0.76736</cdr:x>
      <cdr:y>0.56771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5ED39B04-A035-E3BD-3E61-AC30D62DF7A9}"/>
            </a:ext>
          </a:extLst>
        </cdr:cNvPr>
        <cdr:cNvSpPr txBox="1"/>
      </cdr:nvSpPr>
      <cdr:spPr>
        <a:xfrm xmlns:a="http://schemas.openxmlformats.org/drawingml/2006/main">
          <a:off x="2622545" y="1041401"/>
          <a:ext cx="885825" cy="515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rgbClr val="FF0000"/>
              </a:solidFill>
            </a:rPr>
            <a:t>Pulse, reduced</a:t>
          </a:r>
        </a:p>
      </cdr:txBody>
    </cdr:sp>
  </cdr:relSizeAnchor>
  <cdr:relSizeAnchor xmlns:cdr="http://schemas.openxmlformats.org/drawingml/2006/chartDrawing">
    <cdr:from>
      <cdr:x>0.21528</cdr:x>
      <cdr:y>0.24074</cdr:y>
    </cdr:from>
    <cdr:to>
      <cdr:x>0.40903</cdr:x>
      <cdr:y>0.42882</cdr:y>
    </cdr:to>
    <cdr:sp macro="" textlink="">
      <cdr:nvSpPr>
        <cdr:cNvPr id="3" name="TextBox 9">
          <a:extLst xmlns:a="http://schemas.openxmlformats.org/drawingml/2006/main">
            <a:ext uri="{FF2B5EF4-FFF2-40B4-BE49-F238E27FC236}">
              <a16:creationId xmlns:a16="http://schemas.microsoft.com/office/drawing/2014/main" id="{8FB29FD2-15C4-8772-3C9D-99C6CF8A95CB}"/>
            </a:ext>
          </a:extLst>
        </cdr:cNvPr>
        <cdr:cNvSpPr txBox="1"/>
      </cdr:nvSpPr>
      <cdr:spPr>
        <a:xfrm xmlns:a="http://schemas.openxmlformats.org/drawingml/2006/main">
          <a:off x="984250" y="660400"/>
          <a:ext cx="885825" cy="515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rgbClr val="0000FF"/>
              </a:solidFill>
            </a:rPr>
            <a:t>Pulse, normal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0.79653</cdr:x>
      <cdr:y>0.03936</cdr:y>
    </cdr:from>
    <cdr:to>
      <cdr:x>0.99028</cdr:x>
      <cdr:y>0.22743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8DE1523C-6EAC-48BF-1CBB-A0FD9033D5E4}"/>
            </a:ext>
          </a:extLst>
        </cdr:cNvPr>
        <cdr:cNvSpPr txBox="1"/>
      </cdr:nvSpPr>
      <cdr:spPr>
        <a:xfrm xmlns:a="http://schemas.openxmlformats.org/drawingml/2006/main">
          <a:off x="3641720" y="107963"/>
          <a:ext cx="885825" cy="515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Analog, normal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0.18611</cdr:x>
      <cdr:y>0.03588</cdr:y>
    </cdr:from>
    <cdr:to>
      <cdr:x>0.37986</cdr:x>
      <cdr:y>0.22396</cdr:y>
    </cdr:to>
    <cdr:sp macro="" textlink="">
      <cdr:nvSpPr>
        <cdr:cNvPr id="2" name="TextBox 9">
          <a:extLst xmlns:a="http://schemas.openxmlformats.org/drawingml/2006/main">
            <a:ext uri="{FF2B5EF4-FFF2-40B4-BE49-F238E27FC236}">
              <a16:creationId xmlns:a16="http://schemas.microsoft.com/office/drawing/2014/main" id="{5ED39B04-A035-E3BD-3E61-AC30D62DF7A9}"/>
            </a:ext>
          </a:extLst>
        </cdr:cNvPr>
        <cdr:cNvSpPr txBox="1"/>
      </cdr:nvSpPr>
      <cdr:spPr>
        <a:xfrm xmlns:a="http://schemas.openxmlformats.org/drawingml/2006/main">
          <a:off x="850900" y="98425"/>
          <a:ext cx="885825" cy="515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Pulse, reduced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CA04-0D51-4D15-9015-7A886DB08F37}">
  <dimension ref="A1:C3"/>
  <sheetViews>
    <sheetView workbookViewId="0"/>
  </sheetViews>
  <sheetFormatPr defaultRowHeight="14.75" x14ac:dyDescent="0.75"/>
  <sheetData>
    <row r="1" spans="1:3" x14ac:dyDescent="0.75">
      <c r="A1" t="s">
        <v>102</v>
      </c>
    </row>
    <row r="2" spans="1:3" ht="409.5" x14ac:dyDescent="0.75">
      <c r="B2" t="s">
        <v>103</v>
      </c>
      <c r="C2" s="4" t="s">
        <v>105</v>
      </c>
    </row>
    <row r="3" spans="1:3" x14ac:dyDescent="0.75">
      <c r="B3" t="s">
        <v>104</v>
      </c>
      <c r="C3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69"/>
  <sheetViews>
    <sheetView tabSelected="1" topLeftCell="J22" zoomScaleNormal="100" workbookViewId="0">
      <selection activeCell="AE35" sqref="AE35"/>
    </sheetView>
  </sheetViews>
  <sheetFormatPr defaultRowHeight="14.75" x14ac:dyDescent="0.75"/>
  <cols>
    <col min="1" max="1" width="21.86328125" bestFit="1" customWidth="1"/>
    <col min="4" max="4" width="8.7265625" bestFit="1" customWidth="1"/>
    <col min="5" max="5" width="10.26953125" bestFit="1" customWidth="1"/>
    <col min="6" max="6" width="9.1328125" bestFit="1" customWidth="1"/>
    <col min="7" max="7" width="10.54296875" bestFit="1" customWidth="1"/>
    <col min="8" max="8" width="10.40625" bestFit="1" customWidth="1"/>
    <col min="9" max="9" width="12.54296875" bestFit="1" customWidth="1"/>
    <col min="10" max="10" width="18" bestFit="1" customWidth="1"/>
    <col min="11" max="11" width="11.1328125" bestFit="1" customWidth="1"/>
    <col min="12" max="12" width="8.1328125" customWidth="1"/>
    <col min="13" max="13" width="11.40625" customWidth="1"/>
    <col min="14" max="14" width="12" bestFit="1" customWidth="1"/>
    <col min="15" max="15" width="11.54296875" bestFit="1" customWidth="1"/>
    <col min="16" max="16" width="11.54296875" customWidth="1"/>
    <col min="17" max="17" width="13.1328125" style="12" customWidth="1"/>
    <col min="18" max="18" width="11.54296875" bestFit="1" customWidth="1"/>
    <col min="19" max="19" width="12.54296875" bestFit="1" customWidth="1"/>
    <col min="20" max="20" width="10.40625" bestFit="1" customWidth="1"/>
    <col min="21" max="21" width="8.26953125" bestFit="1" customWidth="1"/>
    <col min="22" max="22" width="11.54296875" bestFit="1" customWidth="1"/>
  </cols>
  <sheetData>
    <row r="1" spans="1:27" s="4" customFormat="1" ht="29.5" x14ac:dyDescent="0.75">
      <c r="A1" s="17" t="s">
        <v>86</v>
      </c>
      <c r="C1" s="6"/>
      <c r="D1" s="6" t="s">
        <v>24</v>
      </c>
      <c r="E1" s="6" t="s">
        <v>23</v>
      </c>
      <c r="F1" s="6" t="s">
        <v>29</v>
      </c>
      <c r="G1" s="6" t="s">
        <v>26</v>
      </c>
      <c r="H1" s="6" t="s">
        <v>27</v>
      </c>
      <c r="I1" s="6" t="s">
        <v>28</v>
      </c>
      <c r="J1" s="6" t="s">
        <v>30</v>
      </c>
      <c r="K1" s="4" t="s">
        <v>40</v>
      </c>
      <c r="L1" s="6" t="s">
        <v>36</v>
      </c>
      <c r="M1" s="4" t="s">
        <v>79</v>
      </c>
      <c r="N1" s="4" t="s">
        <v>92</v>
      </c>
      <c r="O1" s="4" t="s">
        <v>95</v>
      </c>
      <c r="P1" s="4" t="s">
        <v>92</v>
      </c>
      <c r="Q1" s="15" t="s">
        <v>80</v>
      </c>
      <c r="R1" s="40"/>
      <c r="S1" s="6"/>
      <c r="T1" s="6"/>
      <c r="U1" s="6"/>
      <c r="V1" s="6"/>
      <c r="W1" s="6"/>
      <c r="X1" s="6"/>
      <c r="Y1" s="6"/>
      <c r="AA1" s="6"/>
    </row>
    <row r="2" spans="1:27" x14ac:dyDescent="0.75">
      <c r="A2" s="18" t="s">
        <v>83</v>
      </c>
      <c r="C2" s="9"/>
      <c r="D2" t="s">
        <v>2</v>
      </c>
      <c r="E2" t="s">
        <v>6</v>
      </c>
      <c r="F2">
        <v>60</v>
      </c>
      <c r="G2" s="2">
        <v>2.1827142000000004</v>
      </c>
      <c r="H2" s="2">
        <v>654.25</v>
      </c>
      <c r="I2" s="2">
        <v>129.72236275053774</v>
      </c>
      <c r="J2" s="2">
        <v>1297223.6275053774</v>
      </c>
      <c r="K2" s="1">
        <f>30/60</f>
        <v>0.5</v>
      </c>
      <c r="L2" s="10">
        <f>IF(H2&lt;&gt;"0",(H2/$B$7)/(K2*$B$6),"")</f>
        <v>0.21104838709677418</v>
      </c>
      <c r="M2" s="37">
        <f>L2</f>
        <v>0.21104838709677418</v>
      </c>
      <c r="N2" s="10">
        <f>M2*3.57539766819307%</f>
        <v>7.5458191110171473E-3</v>
      </c>
      <c r="O2" s="2">
        <v>2.225668701257403</v>
      </c>
      <c r="P2" s="2"/>
      <c r="V2" s="2"/>
      <c r="W2" s="2"/>
      <c r="X2" s="2"/>
      <c r="Y2" s="2"/>
      <c r="Z2" s="1"/>
      <c r="AA2" s="10"/>
    </row>
    <row r="3" spans="1:27" x14ac:dyDescent="0.75">
      <c r="A3" s="19" t="s">
        <v>87</v>
      </c>
      <c r="C3" s="2"/>
      <c r="D3" t="s">
        <v>2</v>
      </c>
      <c r="E3" t="s">
        <v>6</v>
      </c>
      <c r="F3">
        <v>80</v>
      </c>
      <c r="G3" s="1">
        <v>5.1738410666666663</v>
      </c>
      <c r="H3" s="2">
        <v>647</v>
      </c>
      <c r="I3" s="2">
        <v>339.13740668602003</v>
      </c>
      <c r="J3" s="2">
        <v>3391374.0668602004</v>
      </c>
      <c r="K3" s="1">
        <f t="shared" ref="K3:K6" si="0">30/60</f>
        <v>0.5</v>
      </c>
      <c r="L3" s="10">
        <f>IF(H3&lt;&gt;"0",(H3/$B$7)/(K3*$B$6),"")</f>
        <v>0.20870967741935484</v>
      </c>
      <c r="M3" s="37">
        <f t="shared" ref="M3:M4" si="1">L3</f>
        <v>0.20870967741935484</v>
      </c>
      <c r="N3" s="10">
        <f>M3*3.82415871571859%</f>
        <v>7.9813893195804109E-3</v>
      </c>
      <c r="O3" s="2">
        <v>16.043599483355223</v>
      </c>
      <c r="P3" s="2"/>
      <c r="V3" s="2"/>
      <c r="W3" s="2"/>
      <c r="X3" s="2"/>
      <c r="Y3" s="2"/>
      <c r="Z3" s="1"/>
      <c r="AA3" s="10"/>
    </row>
    <row r="4" spans="1:27" x14ac:dyDescent="0.75">
      <c r="D4" t="s">
        <v>2</v>
      </c>
      <c r="E4" t="s">
        <v>6</v>
      </c>
      <c r="F4">
        <v>150</v>
      </c>
      <c r="G4" s="2">
        <v>34.104909374999998</v>
      </c>
      <c r="H4" s="2">
        <v>655.33333333333337</v>
      </c>
      <c r="I4" s="2">
        <v>2654.6178504106001</v>
      </c>
      <c r="J4" s="2">
        <v>26546178.504106</v>
      </c>
      <c r="K4" s="1">
        <f t="shared" si="0"/>
        <v>0.5</v>
      </c>
      <c r="L4" s="10">
        <f>IF(H4&lt;&gt;"0",(H4/$B$7)/(K4*$B$6),"")</f>
        <v>0.21139784946236562</v>
      </c>
      <c r="M4" s="37">
        <f t="shared" si="1"/>
        <v>0.21139784946236562</v>
      </c>
      <c r="N4" s="10">
        <f>M4*6.30435073913049%</f>
        <v>1.3327261885086605E-2</v>
      </c>
      <c r="O4" s="2">
        <v>43.071035762076804</v>
      </c>
      <c r="P4" s="2"/>
      <c r="V4" s="2"/>
      <c r="W4" s="2"/>
      <c r="X4" s="2"/>
      <c r="Y4" s="2"/>
      <c r="Z4" s="1"/>
      <c r="AA4" s="10"/>
    </row>
    <row r="5" spans="1:27" x14ac:dyDescent="0.75">
      <c r="A5" s="8" t="s">
        <v>37</v>
      </c>
      <c r="B5" s="6"/>
      <c r="D5" t="s">
        <v>2</v>
      </c>
      <c r="E5" t="s">
        <v>6</v>
      </c>
      <c r="F5">
        <v>200</v>
      </c>
      <c r="G5" s="2">
        <v>80.841266666666684</v>
      </c>
      <c r="H5" s="2">
        <v>336.66666666666669</v>
      </c>
      <c r="I5" s="2">
        <v>6233.0500582378199</v>
      </c>
      <c r="J5" s="2">
        <v>62330500.582378201</v>
      </c>
      <c r="K5" s="1">
        <f t="shared" si="0"/>
        <v>0.5</v>
      </c>
      <c r="L5" s="10">
        <f>IF(H5&lt;&gt;"0",(H5/$B$7)/(K5*$B$6),"")</f>
        <v>0.1086021505376344</v>
      </c>
      <c r="M5" s="37"/>
      <c r="N5" s="10">
        <v>8.5171537297451753E-3</v>
      </c>
      <c r="O5" s="2">
        <v>221.03878469702778</v>
      </c>
      <c r="P5" s="2"/>
      <c r="Q5" s="12" t="s">
        <v>98</v>
      </c>
      <c r="V5" s="2"/>
      <c r="W5" s="2"/>
      <c r="X5" s="2"/>
      <c r="Y5" s="2"/>
      <c r="Z5" s="1"/>
      <c r="AA5" s="10"/>
    </row>
    <row r="6" spans="1:27" x14ac:dyDescent="0.75">
      <c r="A6" s="2" t="s">
        <v>38</v>
      </c>
      <c r="B6" s="9">
        <v>6.2E-2</v>
      </c>
      <c r="D6" t="s">
        <v>2</v>
      </c>
      <c r="E6" t="s">
        <v>6</v>
      </c>
      <c r="F6">
        <v>500</v>
      </c>
      <c r="G6" s="2">
        <v>1263.1447916666666</v>
      </c>
      <c r="H6" s="2">
        <v>58.333333333333336</v>
      </c>
      <c r="I6" s="2">
        <v>133792609.07510869</v>
      </c>
      <c r="J6" s="2">
        <v>1337926090751.0869</v>
      </c>
      <c r="K6" s="1">
        <f t="shared" si="0"/>
        <v>0.5</v>
      </c>
      <c r="L6" s="10">
        <f>IF(H6&lt;&gt;"0",(H6/$B$7)/(K6*$B$6),"")</f>
        <v>1.8817204301075269E-2</v>
      </c>
      <c r="M6" s="37"/>
      <c r="N6" s="10">
        <f>M6*5.29921056885469%</f>
        <v>0</v>
      </c>
      <c r="O6" s="7">
        <v>42227477.91213347</v>
      </c>
      <c r="P6" s="7"/>
      <c r="Q6" s="12" t="s">
        <v>96</v>
      </c>
      <c r="V6" s="2"/>
      <c r="W6" s="2"/>
      <c r="X6" s="2"/>
      <c r="Y6" s="2"/>
      <c r="Z6" s="1"/>
      <c r="AA6" s="10"/>
    </row>
    <row r="7" spans="1:27" x14ac:dyDescent="0.75">
      <c r="A7" s="2" t="s">
        <v>39</v>
      </c>
      <c r="B7" s="2">
        <v>100000</v>
      </c>
      <c r="I7" s="2">
        <f>SLOPE(I2:I3,G2:G3)</f>
        <v>70.012090182204801</v>
      </c>
    </row>
    <row r="9" spans="1:27" s="4" customFormat="1" ht="29.5" x14ac:dyDescent="0.75">
      <c r="D9" s="6" t="s">
        <v>24</v>
      </c>
      <c r="E9" s="6" t="s">
        <v>23</v>
      </c>
      <c r="F9" s="6" t="s">
        <v>29</v>
      </c>
      <c r="G9" s="6" t="s">
        <v>26</v>
      </c>
      <c r="H9" s="6" t="s">
        <v>27</v>
      </c>
      <c r="I9" s="6" t="s">
        <v>28</v>
      </c>
      <c r="J9" s="6" t="s">
        <v>30</v>
      </c>
      <c r="K9" s="4" t="s">
        <v>40</v>
      </c>
      <c r="L9" s="6" t="s">
        <v>36</v>
      </c>
      <c r="M9" s="4" t="s">
        <v>79</v>
      </c>
      <c r="N9" s="4" t="s">
        <v>92</v>
      </c>
      <c r="O9" s="4" t="s">
        <v>95</v>
      </c>
      <c r="Q9" s="15"/>
      <c r="S9" s="6"/>
      <c r="T9" s="6"/>
      <c r="U9" s="6"/>
      <c r="V9" s="6"/>
      <c r="W9" s="6"/>
      <c r="X9" s="6"/>
      <c r="Y9" s="6"/>
      <c r="AA9" s="6"/>
    </row>
    <row r="10" spans="1:27" x14ac:dyDescent="0.75">
      <c r="D10" t="s">
        <v>2</v>
      </c>
      <c r="E10" t="s">
        <v>3</v>
      </c>
      <c r="F10">
        <v>60</v>
      </c>
      <c r="G10" s="2">
        <v>2.1827142000000004</v>
      </c>
      <c r="H10" s="2">
        <v>71</v>
      </c>
      <c r="I10" s="2">
        <v>17.540753739604149</v>
      </c>
      <c r="J10" s="2">
        <v>175407.5373960415</v>
      </c>
      <c r="K10" s="1">
        <f>30/60</f>
        <v>0.5</v>
      </c>
      <c r="L10" s="11">
        <f t="shared" ref="L10:L16" si="2">IF(H10&lt;&gt;"0",(H10/$B$7)/(K10*$B$6),"")</f>
        <v>2.2903225806451613E-2</v>
      </c>
      <c r="N10" s="10">
        <v>4.2253521126760563E-2</v>
      </c>
      <c r="O10" s="2">
        <v>37.399287420504606</v>
      </c>
      <c r="P10" s="2"/>
      <c r="Q10" s="7" t="s">
        <v>41</v>
      </c>
      <c r="V10" s="2"/>
      <c r="W10" s="2"/>
      <c r="X10" s="2"/>
      <c r="Y10" s="2"/>
      <c r="Z10" s="1"/>
      <c r="AA10" s="10"/>
    </row>
    <row r="11" spans="1:27" x14ac:dyDescent="0.75">
      <c r="D11" t="s">
        <v>2</v>
      </c>
      <c r="E11" t="s">
        <v>3</v>
      </c>
      <c r="F11">
        <v>80</v>
      </c>
      <c r="G11" s="2">
        <v>5.1738410666666663</v>
      </c>
      <c r="H11" s="2">
        <v>446.66666666666669</v>
      </c>
      <c r="I11" s="2">
        <v>28.09602897510543</v>
      </c>
      <c r="J11" s="2">
        <v>280960.28975105431</v>
      </c>
      <c r="K11" s="1">
        <f t="shared" ref="K11:K14" si="3">30/60</f>
        <v>0.5</v>
      </c>
      <c r="L11" s="10">
        <f t="shared" si="2"/>
        <v>0.14408602150537633</v>
      </c>
      <c r="M11" s="13"/>
      <c r="N11" s="10">
        <v>4.140197464175082E-2</v>
      </c>
      <c r="O11" s="2">
        <v>3.8802134480713826</v>
      </c>
      <c r="P11" s="2"/>
      <c r="Q11" s="7" t="s">
        <v>41</v>
      </c>
      <c r="V11" s="2"/>
      <c r="W11" s="2"/>
      <c r="X11" s="2"/>
      <c r="Y11" s="2"/>
      <c r="Z11" s="1"/>
      <c r="AA11" s="10"/>
    </row>
    <row r="12" spans="1:27" x14ac:dyDescent="0.75">
      <c r="D12" t="s">
        <v>2</v>
      </c>
      <c r="E12" t="s">
        <v>3</v>
      </c>
      <c r="F12">
        <v>150</v>
      </c>
      <c r="G12" s="2">
        <v>34.104909374999998</v>
      </c>
      <c r="H12" s="2">
        <v>618.33333333333337</v>
      </c>
      <c r="I12" s="2">
        <v>186.563626583618</v>
      </c>
      <c r="J12" s="2">
        <v>1865636.26583618</v>
      </c>
      <c r="K12" s="1">
        <f t="shared" si="3"/>
        <v>0.5</v>
      </c>
      <c r="L12" s="10">
        <f t="shared" si="2"/>
        <v>0.19946236559139788</v>
      </c>
      <c r="M12" s="13"/>
      <c r="N12" s="10">
        <v>3.920142094382284E-2</v>
      </c>
      <c r="O12" s="2">
        <v>14.93851492527461</v>
      </c>
      <c r="P12" s="2"/>
      <c r="V12" s="2"/>
      <c r="W12" s="2"/>
      <c r="X12" s="2"/>
      <c r="Y12" s="2"/>
      <c r="Z12" s="1"/>
      <c r="AA12" s="10"/>
    </row>
    <row r="13" spans="1:27" x14ac:dyDescent="0.75">
      <c r="D13" t="s">
        <v>2</v>
      </c>
      <c r="E13" t="s">
        <v>3</v>
      </c>
      <c r="F13">
        <v>200</v>
      </c>
      <c r="G13" s="2">
        <v>80.841266666666684</v>
      </c>
      <c r="H13" s="2">
        <v>272.33333333333331</v>
      </c>
      <c r="I13" s="2">
        <v>496.30698360171527</v>
      </c>
      <c r="J13" s="2">
        <v>4963069.8360171523</v>
      </c>
      <c r="K13" s="1">
        <f t="shared" si="3"/>
        <v>0.5</v>
      </c>
      <c r="L13" s="10">
        <f t="shared" si="2"/>
        <v>8.7849462365591394E-2</v>
      </c>
      <c r="M13" s="13"/>
      <c r="N13" s="10">
        <v>3.2888687497048721E-2</v>
      </c>
      <c r="O13" s="2">
        <v>15.873851120696209</v>
      </c>
      <c r="P13" s="2"/>
      <c r="Q13" s="12" t="s">
        <v>81</v>
      </c>
      <c r="V13" s="2"/>
      <c r="W13" s="2"/>
      <c r="X13" s="2"/>
      <c r="Y13" s="2"/>
      <c r="Z13" s="1"/>
      <c r="AA13" s="10"/>
    </row>
    <row r="14" spans="1:27" x14ac:dyDescent="0.75">
      <c r="D14" t="s">
        <v>2</v>
      </c>
      <c r="E14" t="s">
        <v>3</v>
      </c>
      <c r="F14">
        <v>500</v>
      </c>
      <c r="G14" s="2">
        <v>1263.1447916666666</v>
      </c>
      <c r="H14" s="7">
        <f>'Au Matlab stats'!D81</f>
        <v>70</v>
      </c>
      <c r="I14" s="7">
        <f>'Au Matlab stats'!E81</f>
        <v>10271.573664643751</v>
      </c>
      <c r="J14" s="2">
        <v>94663188.714705735</v>
      </c>
      <c r="K14" s="1">
        <f t="shared" si="3"/>
        <v>0.5</v>
      </c>
      <c r="L14" s="10">
        <f t="shared" si="2"/>
        <v>2.2580645161290321E-2</v>
      </c>
      <c r="M14" s="13"/>
      <c r="N14" s="10">
        <f>'Au Matlab stats'!H81</f>
        <v>7.1428571428571425E-2</v>
      </c>
      <c r="O14" s="1">
        <f>'Au Matlab stats'!I81</f>
        <v>39.210562262550411</v>
      </c>
      <c r="P14" s="1"/>
      <c r="V14" s="2"/>
      <c r="W14" s="2"/>
      <c r="X14" s="2"/>
      <c r="Y14" s="7"/>
      <c r="Z14" s="1"/>
      <c r="AA14" s="10"/>
    </row>
    <row r="15" spans="1:27" x14ac:dyDescent="0.75">
      <c r="D15" t="s">
        <v>2</v>
      </c>
      <c r="E15" t="s">
        <v>3</v>
      </c>
      <c r="F15">
        <v>1000</v>
      </c>
      <c r="G15" s="2">
        <v>10105.158333333333</v>
      </c>
      <c r="H15" s="2">
        <f>'Au Matlab stats'!D27</f>
        <v>591.75</v>
      </c>
      <c r="I15" s="2">
        <f>'Au Matlab stats'!E27</f>
        <v>24634.734558433076</v>
      </c>
      <c r="J15" s="2">
        <v>241250187.52856243</v>
      </c>
      <c r="K15" s="1">
        <f>100/60</f>
        <v>1.6666666666666667</v>
      </c>
      <c r="L15" s="10">
        <f t="shared" si="2"/>
        <v>5.7266129032258063E-2</v>
      </c>
      <c r="M15" s="38">
        <f t="shared" ref="M15:M16" si="4">L15</f>
        <v>5.7266129032258063E-2</v>
      </c>
      <c r="N15" s="10">
        <f>'Au Matlab stats'!H27*M15</f>
        <v>5.9884286182016536E-3</v>
      </c>
      <c r="O15" s="2">
        <f>'Au Matlab stats'!I27</f>
        <v>916.50738718136893</v>
      </c>
      <c r="P15" s="2"/>
      <c r="W15" s="2"/>
      <c r="X15" s="10"/>
    </row>
    <row r="16" spans="1:27" x14ac:dyDescent="0.75">
      <c r="D16" t="s">
        <v>2</v>
      </c>
      <c r="E16" t="s">
        <v>3</v>
      </c>
      <c r="F16">
        <v>1500</v>
      </c>
      <c r="G16" s="2">
        <v>34104.909374999988</v>
      </c>
      <c r="H16" s="2">
        <f>'Au Matlab stats'!D57</f>
        <v>332.5</v>
      </c>
      <c r="I16" s="2">
        <f>'Au Matlab stats'!E57</f>
        <v>58311.454744336399</v>
      </c>
      <c r="J16" s="2">
        <v>534905381.76564723</v>
      </c>
      <c r="K16" s="1">
        <f>100/60</f>
        <v>1.6666666666666667</v>
      </c>
      <c r="L16" s="10">
        <f t="shared" si="2"/>
        <v>3.2177419354838706E-2</v>
      </c>
      <c r="M16" s="38">
        <f t="shared" si="4"/>
        <v>3.2177419354838706E-2</v>
      </c>
      <c r="N16" s="10">
        <f>'Au Matlab stats'!H57*M16</f>
        <v>3.0483870967741933E-3</v>
      </c>
      <c r="O16" s="2">
        <f>'Au Matlab stats'!I57</f>
        <v>957.78611949249898</v>
      </c>
      <c r="P16" s="2"/>
      <c r="W16" s="2"/>
      <c r="X16" s="10"/>
    </row>
    <row r="17" spans="1:22" x14ac:dyDescent="0.75">
      <c r="I17" s="2"/>
    </row>
    <row r="18" spans="1:22" ht="29.5" x14ac:dyDescent="0.75">
      <c r="A18" s="16" t="s">
        <v>85</v>
      </c>
      <c r="D18" s="6" t="s">
        <v>24</v>
      </c>
      <c r="E18" s="6" t="s">
        <v>23</v>
      </c>
      <c r="F18" s="6" t="s">
        <v>29</v>
      </c>
      <c r="G18" s="6" t="s">
        <v>26</v>
      </c>
      <c r="H18" s="6" t="s">
        <v>27</v>
      </c>
      <c r="I18" s="6" t="s">
        <v>28</v>
      </c>
      <c r="J18" s="6" t="s">
        <v>30</v>
      </c>
      <c r="K18" s="4" t="s">
        <v>40</v>
      </c>
      <c r="L18" s="6" t="s">
        <v>36</v>
      </c>
      <c r="M18" s="4" t="s">
        <v>79</v>
      </c>
      <c r="N18" s="4" t="s">
        <v>92</v>
      </c>
      <c r="O18" s="4" t="s">
        <v>95</v>
      </c>
      <c r="P18" s="4"/>
    </row>
    <row r="19" spans="1:22" x14ac:dyDescent="0.75">
      <c r="A19" s="18" t="s">
        <v>83</v>
      </c>
      <c r="D19" t="s">
        <v>2</v>
      </c>
      <c r="E19" t="s">
        <v>6</v>
      </c>
      <c r="F19">
        <v>480</v>
      </c>
      <c r="G19" s="2">
        <v>115.808256</v>
      </c>
      <c r="H19" s="2">
        <v>278</v>
      </c>
      <c r="I19" s="2">
        <v>136.95910731563873</v>
      </c>
      <c r="J19" s="2">
        <f t="shared" ref="J19:J27" si="5">I19*1000</f>
        <v>136959.10731563874</v>
      </c>
      <c r="K19" s="1">
        <f>30/60</f>
        <v>0.5</v>
      </c>
      <c r="L19" s="11">
        <f t="shared" ref="L19:L27" si="6">IF(H19&lt;&gt;"0",(H19/$B$7)/(K19*$B$6),"")</f>
        <v>8.9677419354838708E-2</v>
      </c>
      <c r="N19" s="10">
        <v>0.68798823577884516</v>
      </c>
      <c r="O19" s="34">
        <v>82.057168102598624</v>
      </c>
      <c r="P19" s="34"/>
      <c r="Q19" s="7" t="s">
        <v>41</v>
      </c>
    </row>
    <row r="20" spans="1:22" x14ac:dyDescent="0.75">
      <c r="A20" s="19" t="s">
        <v>84</v>
      </c>
      <c r="D20" t="s">
        <v>2</v>
      </c>
      <c r="E20" t="s">
        <v>6</v>
      </c>
      <c r="F20">
        <v>690</v>
      </c>
      <c r="G20" s="2">
        <v>344.00367449999993</v>
      </c>
      <c r="H20" s="2">
        <v>388</v>
      </c>
      <c r="I20" s="2">
        <v>540.43064630553204</v>
      </c>
      <c r="J20" s="2">
        <f t="shared" si="5"/>
        <v>540430.64630553208</v>
      </c>
      <c r="K20" s="1">
        <f t="shared" ref="K20:K27" si="7">30/60</f>
        <v>0.5</v>
      </c>
      <c r="L20" s="10">
        <f t="shared" si="6"/>
        <v>0.12516129032258067</v>
      </c>
      <c r="M20" s="14">
        <f>L20</f>
        <v>0.12516129032258067</v>
      </c>
      <c r="N20" s="37">
        <f>M20*2.39010785966384%</f>
        <v>2.9914898372566776E-3</v>
      </c>
      <c r="O20" s="34">
        <v>6.9579873794011782</v>
      </c>
      <c r="P20" s="34"/>
    </row>
    <row r="21" spans="1:22" x14ac:dyDescent="0.75">
      <c r="D21" t="s">
        <v>2</v>
      </c>
      <c r="E21" t="s">
        <v>6</v>
      </c>
      <c r="F21">
        <v>730</v>
      </c>
      <c r="G21" s="2">
        <v>407.36563516666666</v>
      </c>
      <c r="H21" s="2">
        <v>314.33333333333331</v>
      </c>
      <c r="I21" s="2">
        <v>753.04296438963195</v>
      </c>
      <c r="J21" s="2">
        <f t="shared" si="5"/>
        <v>753042.96438963199</v>
      </c>
      <c r="K21" s="1">
        <f t="shared" si="7"/>
        <v>0.5</v>
      </c>
      <c r="L21" s="10">
        <f t="shared" si="6"/>
        <v>0.10139784946236559</v>
      </c>
      <c r="M21" s="14">
        <f t="shared" ref="M21:M27" si="8">L21</f>
        <v>0.10139784946236559</v>
      </c>
      <c r="N21" s="37">
        <f>M21*1.82445922948942%</f>
        <v>1.8499624230199172E-3</v>
      </c>
      <c r="O21" s="34">
        <v>6.6837838019205664</v>
      </c>
      <c r="P21" s="34"/>
    </row>
    <row r="22" spans="1:22" x14ac:dyDescent="0.75">
      <c r="D22" t="s">
        <v>2</v>
      </c>
      <c r="E22" t="s">
        <v>6</v>
      </c>
      <c r="F22">
        <v>895</v>
      </c>
      <c r="G22" s="2">
        <v>750.73197785416642</v>
      </c>
      <c r="H22" s="2">
        <v>299.33333333333331</v>
      </c>
      <c r="I22" s="2">
        <v>1209.6309583667132</v>
      </c>
      <c r="J22" s="2">
        <f t="shared" si="5"/>
        <v>1209630.9583667133</v>
      </c>
      <c r="K22" s="1">
        <f t="shared" si="7"/>
        <v>0.5</v>
      </c>
      <c r="L22" s="10">
        <f t="shared" si="6"/>
        <v>9.6559139784946235E-2</v>
      </c>
      <c r="M22" s="14">
        <f t="shared" si="8"/>
        <v>9.6559139784946235E-2</v>
      </c>
      <c r="N22" s="37">
        <f>M22*1.39975557794839%</f>
        <v>1.351591945158768E-3</v>
      </c>
      <c r="O22" s="34">
        <v>28.653866979854897</v>
      </c>
      <c r="P22" s="34"/>
    </row>
    <row r="23" spans="1:22" x14ac:dyDescent="0.75">
      <c r="D23" s="41" t="s">
        <v>2</v>
      </c>
      <c r="E23" s="41" t="s">
        <v>6</v>
      </c>
      <c r="F23" s="41">
        <v>990</v>
      </c>
      <c r="G23" s="3">
        <v>1016.0647694999997</v>
      </c>
      <c r="H23" s="3">
        <v>142</v>
      </c>
      <c r="I23" s="3">
        <v>1915.90278310336</v>
      </c>
      <c r="J23" s="3">
        <f t="shared" si="5"/>
        <v>1915902.7831033599</v>
      </c>
      <c r="K23" s="1">
        <f t="shared" si="7"/>
        <v>0.5</v>
      </c>
      <c r="L23" s="10">
        <f t="shared" si="6"/>
        <v>4.5806451612903226E-2</v>
      </c>
      <c r="M23" s="39">
        <f t="shared" si="8"/>
        <v>4.5806451612903226E-2</v>
      </c>
      <c r="N23" s="37">
        <f>M23*4.02498314541837%</f>
        <v>1.8437019569335761E-3</v>
      </c>
      <c r="O23" s="34">
        <v>4.1483264852826043</v>
      </c>
      <c r="P23" s="34"/>
    </row>
    <row r="24" spans="1:22" x14ac:dyDescent="0.75">
      <c r="D24" t="s">
        <v>2</v>
      </c>
      <c r="E24" t="s">
        <v>6</v>
      </c>
      <c r="F24">
        <v>1050</v>
      </c>
      <c r="G24" s="2">
        <v>1212.2263125000002</v>
      </c>
      <c r="H24" s="2">
        <f>305.333333333333</f>
        <v>305.33333333333297</v>
      </c>
      <c r="I24" s="2">
        <v>1722.48288439106</v>
      </c>
      <c r="J24" s="2">
        <f t="shared" si="5"/>
        <v>1722482.8843910601</v>
      </c>
      <c r="K24" s="1">
        <f t="shared" si="7"/>
        <v>0.5</v>
      </c>
      <c r="L24" s="11">
        <f t="shared" si="6"/>
        <v>9.8494623655913868E-2</v>
      </c>
      <c r="M24" s="39"/>
      <c r="N24" s="37">
        <v>3.1903142349787028E-2</v>
      </c>
      <c r="O24" s="34">
        <v>12.578607704620834</v>
      </c>
      <c r="P24" s="34"/>
      <c r="Q24" s="12" t="s">
        <v>82</v>
      </c>
    </row>
    <row r="25" spans="1:22" x14ac:dyDescent="0.75">
      <c r="D25" t="s">
        <v>2</v>
      </c>
      <c r="E25" t="s">
        <v>6</v>
      </c>
      <c r="F25">
        <v>1570</v>
      </c>
      <c r="G25" s="2">
        <f>G36</f>
        <v>4458</v>
      </c>
      <c r="H25" s="2">
        <v>161.33333333333334</v>
      </c>
      <c r="I25" s="2">
        <v>6132.4400193965166</v>
      </c>
      <c r="J25" s="2">
        <f t="shared" si="5"/>
        <v>6132440.0193965165</v>
      </c>
      <c r="K25" s="1">
        <f t="shared" si="7"/>
        <v>0.5</v>
      </c>
      <c r="L25" s="10">
        <f t="shared" si="6"/>
        <v>5.2043010752688176E-2</v>
      </c>
      <c r="M25" s="39">
        <f t="shared" si="8"/>
        <v>5.2043010752688176E-2</v>
      </c>
      <c r="N25" s="37">
        <f>M25*1.91603687923465%</f>
        <v>9.9716327908555991E-4</v>
      </c>
      <c r="O25" s="34">
        <v>29.995072158569489</v>
      </c>
      <c r="P25" s="34"/>
      <c r="V25" t="s">
        <v>107</v>
      </c>
    </row>
    <row r="26" spans="1:22" x14ac:dyDescent="0.75">
      <c r="D26" t="s">
        <v>2</v>
      </c>
      <c r="E26" t="s">
        <v>6</v>
      </c>
      <c r="F26">
        <v>2060</v>
      </c>
      <c r="G26">
        <v>9154.1383213333302</v>
      </c>
      <c r="H26" s="2">
        <v>154.66666666666666</v>
      </c>
      <c r="I26" s="2">
        <v>10732.123150378766</v>
      </c>
      <c r="J26" s="2">
        <f t="shared" si="5"/>
        <v>10732123.150378766</v>
      </c>
      <c r="K26" s="1">
        <f t="shared" si="7"/>
        <v>0.5</v>
      </c>
      <c r="L26" s="10">
        <f t="shared" si="6"/>
        <v>4.9892473118279573E-2</v>
      </c>
      <c r="M26" s="39">
        <f t="shared" si="8"/>
        <v>4.9892473118279573E-2</v>
      </c>
      <c r="N26" s="37">
        <f>M26*4.76093147292554%</f>
        <v>2.3753464553090868E-3</v>
      </c>
      <c r="O26" s="34">
        <v>269.48408372722059</v>
      </c>
      <c r="P26" s="34"/>
    </row>
    <row r="27" spans="1:22" x14ac:dyDescent="0.75">
      <c r="D27" t="s">
        <v>2</v>
      </c>
      <c r="E27" t="s">
        <v>6</v>
      </c>
      <c r="F27">
        <v>3170</v>
      </c>
      <c r="G27">
        <v>33357.507779833337</v>
      </c>
      <c r="H27" s="2">
        <v>138.33333333333334</v>
      </c>
      <c r="I27" s="2">
        <v>27670.062025886731</v>
      </c>
      <c r="J27" s="2">
        <f t="shared" si="5"/>
        <v>27670062.025886729</v>
      </c>
      <c r="K27" s="1">
        <f t="shared" si="7"/>
        <v>0.5</v>
      </c>
      <c r="L27" s="10">
        <f t="shared" si="6"/>
        <v>4.4623655913978495E-2</v>
      </c>
      <c r="M27" s="39">
        <f t="shared" si="8"/>
        <v>4.4623655913978495E-2</v>
      </c>
      <c r="N27" s="37">
        <f>M27*4.43006658092777%</f>
        <v>1.9768576678333596E-3</v>
      </c>
      <c r="O27" s="34">
        <v>710.23020859495182</v>
      </c>
      <c r="P27" s="34"/>
    </row>
    <row r="28" spans="1:22" x14ac:dyDescent="0.75">
      <c r="K28" s="1"/>
    </row>
    <row r="29" spans="1:22" ht="29.5" x14ac:dyDescent="0.75">
      <c r="D29" s="6" t="s">
        <v>24</v>
      </c>
      <c r="E29" s="6" t="s">
        <v>23</v>
      </c>
      <c r="F29" s="6" t="s">
        <v>29</v>
      </c>
      <c r="G29" s="6" t="s">
        <v>26</v>
      </c>
      <c r="H29" s="6" t="s">
        <v>27</v>
      </c>
      <c r="I29" s="6" t="s">
        <v>28</v>
      </c>
      <c r="J29" s="6" t="s">
        <v>30</v>
      </c>
      <c r="K29" s="4" t="s">
        <v>40</v>
      </c>
      <c r="L29" s="6" t="s">
        <v>36</v>
      </c>
      <c r="M29" s="4" t="s">
        <v>79</v>
      </c>
      <c r="N29" s="4" t="s">
        <v>92</v>
      </c>
      <c r="O29" s="4" t="s">
        <v>95</v>
      </c>
      <c r="P29" s="4"/>
    </row>
    <row r="30" spans="1:22" x14ac:dyDescent="0.75">
      <c r="D30" t="s">
        <v>2</v>
      </c>
      <c r="E30" t="s">
        <v>3</v>
      </c>
      <c r="F30">
        <v>480</v>
      </c>
      <c r="G30" s="2">
        <f>G19</f>
        <v>115.808256</v>
      </c>
      <c r="H30" s="2">
        <v>11</v>
      </c>
      <c r="I30" s="2">
        <v>22.6404296370605</v>
      </c>
      <c r="J30" s="2">
        <f t="shared" ref="J30:J38" si="9">I30*1000</f>
        <v>22640.429637060501</v>
      </c>
      <c r="K30" s="1">
        <f>30/60</f>
        <v>0.5</v>
      </c>
      <c r="L30" s="10">
        <f t="shared" ref="L30:L38" si="10">IF(H30&lt;&gt;"0",(H30/$B$7)/(K30*$B$6),"")</f>
        <v>3.5483870967741938E-3</v>
      </c>
      <c r="N30" s="10">
        <v>0.18181818181818182</v>
      </c>
      <c r="O30" s="34">
        <v>0.73022463052650011</v>
      </c>
      <c r="P30" s="34"/>
      <c r="Q30" s="7" t="s">
        <v>41</v>
      </c>
    </row>
    <row r="31" spans="1:22" x14ac:dyDescent="0.75">
      <c r="D31" t="s">
        <v>2</v>
      </c>
      <c r="E31" t="s">
        <v>3</v>
      </c>
      <c r="F31">
        <v>690</v>
      </c>
      <c r="G31" s="2">
        <v>344.00367449999993</v>
      </c>
      <c r="H31" s="2">
        <v>301.33333333333331</v>
      </c>
      <c r="I31" s="2">
        <v>35.970899546380402</v>
      </c>
      <c r="J31" s="2">
        <f t="shared" si="9"/>
        <v>35970.899546380402</v>
      </c>
      <c r="K31" s="1">
        <f t="shared" ref="K31:K38" si="11">30/60</f>
        <v>0.5</v>
      </c>
      <c r="L31" s="10">
        <f t="shared" si="10"/>
        <v>9.7204301075268812E-2</v>
      </c>
      <c r="M31" s="14">
        <f>L31</f>
        <v>9.7204301075268812E-2</v>
      </c>
      <c r="N31" s="10">
        <v>4.1330529012415781E-2</v>
      </c>
      <c r="O31" s="34">
        <v>1.4278060085332658</v>
      </c>
      <c r="P31" s="34"/>
    </row>
    <row r="32" spans="1:22" x14ac:dyDescent="0.75">
      <c r="D32" t="s">
        <v>2</v>
      </c>
      <c r="E32" t="s">
        <v>3</v>
      </c>
      <c r="F32">
        <v>730</v>
      </c>
      <c r="G32" s="2">
        <v>448</v>
      </c>
      <c r="H32" s="2">
        <v>337</v>
      </c>
      <c r="I32" s="2">
        <v>47.88478406390167</v>
      </c>
      <c r="J32" s="2">
        <f t="shared" si="9"/>
        <v>47884.784063901672</v>
      </c>
      <c r="K32" s="1">
        <f t="shared" si="11"/>
        <v>0.5</v>
      </c>
      <c r="L32" s="10">
        <f t="shared" si="10"/>
        <v>0.10870967741935485</v>
      </c>
      <c r="M32" s="14">
        <f t="shared" ref="M32:M38" si="12">L32</f>
        <v>0.10870967741935485</v>
      </c>
      <c r="N32" s="10">
        <v>3.2165016824425567E-2</v>
      </c>
      <c r="O32" s="34">
        <v>1.6634237061579493</v>
      </c>
      <c r="P32" s="34"/>
    </row>
    <row r="33" spans="4:17" x14ac:dyDescent="0.75">
      <c r="D33" t="s">
        <v>2</v>
      </c>
      <c r="E33" t="s">
        <v>3</v>
      </c>
      <c r="F33">
        <v>895</v>
      </c>
      <c r="G33" s="2">
        <v>750.73197785416642</v>
      </c>
      <c r="H33" s="2">
        <v>330</v>
      </c>
      <c r="I33" s="2">
        <v>74.439057948519974</v>
      </c>
      <c r="J33" s="2">
        <f t="shared" si="9"/>
        <v>74439.057948519971</v>
      </c>
      <c r="K33" s="1">
        <f t="shared" si="11"/>
        <v>0.5</v>
      </c>
      <c r="L33" s="10">
        <f t="shared" si="10"/>
        <v>0.1064516129032258</v>
      </c>
      <c r="M33" s="14">
        <f t="shared" si="12"/>
        <v>0.1064516129032258</v>
      </c>
      <c r="N33" s="10">
        <v>5.2801321186818156E-2</v>
      </c>
      <c r="O33" s="34">
        <v>0.37625889099459048</v>
      </c>
      <c r="P33" s="34"/>
    </row>
    <row r="34" spans="4:17" x14ac:dyDescent="0.75">
      <c r="D34" t="s">
        <v>2</v>
      </c>
      <c r="E34" t="s">
        <v>3</v>
      </c>
      <c r="F34">
        <v>990</v>
      </c>
      <c r="G34" s="2">
        <f>G23</f>
        <v>1016.0647694999997</v>
      </c>
      <c r="H34" s="2">
        <v>170.33333333333334</v>
      </c>
      <c r="I34" s="2">
        <v>109.24397954103399</v>
      </c>
      <c r="J34" s="2">
        <f t="shared" si="9"/>
        <v>109243.979541034</v>
      </c>
      <c r="K34" s="1">
        <f t="shared" si="11"/>
        <v>0.5</v>
      </c>
      <c r="L34" s="10">
        <f t="shared" si="10"/>
        <v>5.4946236559139786E-2</v>
      </c>
      <c r="M34" s="14">
        <f t="shared" si="12"/>
        <v>5.4946236559139786E-2</v>
      </c>
      <c r="N34" s="10">
        <v>3.8351627927786985E-2</v>
      </c>
      <c r="O34" s="34">
        <v>0.68272501356904436</v>
      </c>
      <c r="P34" s="34"/>
    </row>
    <row r="35" spans="4:17" x14ac:dyDescent="0.75">
      <c r="D35" t="s">
        <v>2</v>
      </c>
      <c r="E35" t="s">
        <v>3</v>
      </c>
      <c r="F35">
        <v>1050</v>
      </c>
      <c r="G35" s="2">
        <v>1212.2263125000002</v>
      </c>
      <c r="H35" s="2">
        <f>322.666666666667</f>
        <v>322.66666666666703</v>
      </c>
      <c r="I35" s="2">
        <v>103.72938123710499</v>
      </c>
      <c r="J35" s="2">
        <f t="shared" si="9"/>
        <v>103729.38123710499</v>
      </c>
      <c r="K35" s="1">
        <f t="shared" si="11"/>
        <v>0.5</v>
      </c>
      <c r="L35" s="11">
        <f t="shared" si="10"/>
        <v>0.10408602150537646</v>
      </c>
      <c r="M35" s="14"/>
      <c r="N35" s="10">
        <v>1.273639256811772E-2</v>
      </c>
      <c r="O35" s="34">
        <v>2.1880069310645522</v>
      </c>
      <c r="P35" s="34"/>
      <c r="Q35" s="12" t="s">
        <v>82</v>
      </c>
    </row>
    <row r="36" spans="4:17" x14ac:dyDescent="0.75">
      <c r="D36" t="s">
        <v>2</v>
      </c>
      <c r="E36" t="s">
        <v>3</v>
      </c>
      <c r="F36">
        <v>1570</v>
      </c>
      <c r="G36" s="2">
        <v>4458</v>
      </c>
      <c r="H36" s="2">
        <v>182</v>
      </c>
      <c r="I36" s="2">
        <v>370.19483994315965</v>
      </c>
      <c r="J36" s="2">
        <f t="shared" si="9"/>
        <v>370194.83994315966</v>
      </c>
      <c r="K36" s="1">
        <f t="shared" si="11"/>
        <v>0.5</v>
      </c>
      <c r="L36" s="10">
        <f t="shared" si="10"/>
        <v>5.8709677419354837E-2</v>
      </c>
      <c r="M36" s="14">
        <f t="shared" si="12"/>
        <v>5.8709677419354837E-2</v>
      </c>
      <c r="N36" s="10">
        <v>5.0557412973781177E-2</v>
      </c>
      <c r="O36" s="34">
        <v>3.3783280877901216</v>
      </c>
      <c r="P36" s="34"/>
    </row>
    <row r="37" spans="4:17" x14ac:dyDescent="0.75">
      <c r="D37" t="s">
        <v>2</v>
      </c>
      <c r="E37" t="s">
        <v>3</v>
      </c>
      <c r="F37">
        <v>2060</v>
      </c>
      <c r="G37" s="2">
        <v>9154.1383213333302</v>
      </c>
      <c r="H37" s="2">
        <v>169.33333333333334</v>
      </c>
      <c r="I37" s="2">
        <v>673.30106878130073</v>
      </c>
      <c r="J37" s="2">
        <f t="shared" si="9"/>
        <v>673301.06878130068</v>
      </c>
      <c r="K37" s="1">
        <f t="shared" si="11"/>
        <v>0.5</v>
      </c>
      <c r="L37" s="10">
        <f t="shared" si="10"/>
        <v>5.4623655913978497E-2</v>
      </c>
      <c r="M37" s="14">
        <f t="shared" si="12"/>
        <v>5.4623655913978497E-2</v>
      </c>
      <c r="N37" s="10">
        <v>0.1202883158854503</v>
      </c>
      <c r="O37" s="34">
        <v>8.4534113184298665</v>
      </c>
      <c r="P37" s="34"/>
    </row>
    <row r="38" spans="4:17" x14ac:dyDescent="0.75">
      <c r="D38" t="s">
        <v>2</v>
      </c>
      <c r="E38" t="s">
        <v>3</v>
      </c>
      <c r="F38">
        <v>3170</v>
      </c>
      <c r="G38" s="2">
        <v>33357.507779833337</v>
      </c>
      <c r="H38" s="2">
        <v>150.33333333333334</v>
      </c>
      <c r="I38" s="2">
        <v>1788.4027851739665</v>
      </c>
      <c r="J38" s="2">
        <f t="shared" si="9"/>
        <v>1788402.7851739665</v>
      </c>
      <c r="K38" s="1">
        <f t="shared" si="11"/>
        <v>0.5</v>
      </c>
      <c r="L38" s="10">
        <f t="shared" si="10"/>
        <v>4.8494623655913983E-2</v>
      </c>
      <c r="M38" s="14">
        <f t="shared" si="12"/>
        <v>4.8494623655913983E-2</v>
      </c>
      <c r="N38" s="10">
        <v>0.1004901924046533</v>
      </c>
      <c r="O38" s="34">
        <v>29.407992832515127</v>
      </c>
      <c r="P38" s="34"/>
    </row>
    <row r="44" spans="4:17" x14ac:dyDescent="0.75">
      <c r="D44" s="41" t="s">
        <v>42</v>
      </c>
    </row>
    <row r="45" spans="4:17" ht="29.5" x14ac:dyDescent="0.75">
      <c r="D45" t="str">
        <f>D9</f>
        <v>Detector</v>
      </c>
      <c r="E45" t="s">
        <v>23</v>
      </c>
      <c r="F45" s="6" t="s">
        <v>29</v>
      </c>
      <c r="G45" s="6" t="s">
        <v>26</v>
      </c>
      <c r="H45" s="6" t="s">
        <v>27</v>
      </c>
      <c r="I45" s="6" t="s">
        <v>28</v>
      </c>
      <c r="J45" s="6" t="s">
        <v>30</v>
      </c>
      <c r="K45" s="4" t="s">
        <v>40</v>
      </c>
      <c r="L45" s="6" t="s">
        <v>36</v>
      </c>
      <c r="M45" s="6" t="s">
        <v>97</v>
      </c>
    </row>
    <row r="46" spans="4:17" x14ac:dyDescent="0.75">
      <c r="D46" t="s">
        <v>2</v>
      </c>
      <c r="E46" t="s">
        <v>6</v>
      </c>
      <c r="F46">
        <v>60</v>
      </c>
      <c r="G46" s="2">
        <f>G2</f>
        <v>2.1827142000000004</v>
      </c>
      <c r="L46" s="10">
        <v>0.31355555555555553</v>
      </c>
      <c r="M46" s="10">
        <f>12.4769125115157%*L46</f>
        <v>3.9122052341663667E-2</v>
      </c>
    </row>
    <row r="47" spans="4:17" x14ac:dyDescent="0.75">
      <c r="D47" t="s">
        <v>2</v>
      </c>
      <c r="E47" t="s">
        <v>6</v>
      </c>
      <c r="F47">
        <v>100</v>
      </c>
      <c r="G47" s="2">
        <v>10.105158333333335</v>
      </c>
      <c r="L47" s="10">
        <v>0.32095238095238093</v>
      </c>
      <c r="M47" s="10">
        <f>L47*7.05229155185296%</f>
        <v>2.2634497647375688E-2</v>
      </c>
    </row>
    <row r="48" spans="4:17" x14ac:dyDescent="0.75">
      <c r="D48" t="s">
        <v>2</v>
      </c>
      <c r="E48" t="s">
        <v>6</v>
      </c>
      <c r="F48">
        <v>200</v>
      </c>
      <c r="G48" s="2">
        <f>G5</f>
        <v>80.841266666666684</v>
      </c>
      <c r="L48" s="10">
        <v>0.3</v>
      </c>
      <c r="M48" s="10">
        <f>L48*14.6762332029378%</f>
        <v>4.40286996088134E-2</v>
      </c>
    </row>
    <row r="49" spans="1:13" x14ac:dyDescent="0.75">
      <c r="D49" t="s">
        <v>2</v>
      </c>
      <c r="E49" t="s">
        <v>6</v>
      </c>
      <c r="F49">
        <v>480</v>
      </c>
      <c r="G49" s="2">
        <f>G30</f>
        <v>115.808256</v>
      </c>
      <c r="L49" s="10">
        <v>0.29948148148148152</v>
      </c>
      <c r="M49" s="10">
        <f>L49*6.7308594125192%</f>
        <v>2.0157677485048243E-2</v>
      </c>
    </row>
    <row r="50" spans="1:13" x14ac:dyDescent="0.75">
      <c r="D50" t="s">
        <v>2</v>
      </c>
      <c r="E50" t="s">
        <v>6</v>
      </c>
      <c r="F50">
        <v>730</v>
      </c>
      <c r="G50" s="2">
        <f>G32</f>
        <v>448</v>
      </c>
      <c r="L50" s="10">
        <v>0.28392592592592597</v>
      </c>
      <c r="M50" s="10">
        <f>L50*6.42568664755097%</f>
        <v>1.8244190311157683E-2</v>
      </c>
    </row>
    <row r="51" spans="1:13" x14ac:dyDescent="0.75">
      <c r="D51" t="s">
        <v>2</v>
      </c>
      <c r="E51" t="s">
        <v>6</v>
      </c>
      <c r="F51">
        <v>990</v>
      </c>
      <c r="G51" s="2">
        <f>G34</f>
        <v>1016.0647694999997</v>
      </c>
      <c r="L51" s="10">
        <v>0.1771851851851852</v>
      </c>
      <c r="M51" s="10">
        <f>L51*4.85670091353097%</f>
        <v>8.60535450753043E-3</v>
      </c>
    </row>
    <row r="52" spans="1:13" x14ac:dyDescent="0.75">
      <c r="D52" t="s">
        <v>2</v>
      </c>
      <c r="E52" t="s">
        <v>6</v>
      </c>
      <c r="F52">
        <v>1570</v>
      </c>
      <c r="G52" s="2">
        <f>G36</f>
        <v>4458</v>
      </c>
      <c r="L52" s="10">
        <v>9.8518518518518519E-2</v>
      </c>
      <c r="M52" s="10">
        <f>L52*9.27162487757286%</f>
        <v>9.1342674719791881E-3</v>
      </c>
    </row>
    <row r="53" spans="1:13" x14ac:dyDescent="0.75">
      <c r="D53" t="s">
        <v>2</v>
      </c>
      <c r="E53" t="s">
        <v>6</v>
      </c>
      <c r="F53">
        <v>2060</v>
      </c>
      <c r="G53" s="2">
        <f>G37</f>
        <v>9154.1383213333302</v>
      </c>
      <c r="L53" s="10">
        <v>7.5688888888888889E-2</v>
      </c>
      <c r="M53" s="10">
        <f>L53*5.16134279350458%</f>
        <v>3.9065630121503554E-3</v>
      </c>
    </row>
    <row r="54" spans="1:13" x14ac:dyDescent="0.75">
      <c r="D54" t="s">
        <v>2</v>
      </c>
      <c r="E54" t="s">
        <v>6</v>
      </c>
      <c r="F54">
        <v>3170</v>
      </c>
      <c r="G54" s="2">
        <f>G38</f>
        <v>33357.507779833337</v>
      </c>
      <c r="L54" s="10">
        <v>3.9037037037037037E-2</v>
      </c>
      <c r="M54" s="10">
        <f>L54*9.55196428740282%</f>
        <v>3.7288038366379895E-3</v>
      </c>
    </row>
    <row r="55" spans="1:13" x14ac:dyDescent="0.75">
      <c r="M55" s="10"/>
    </row>
    <row r="57" spans="1:13" x14ac:dyDescent="0.75">
      <c r="A57" t="s">
        <v>99</v>
      </c>
      <c r="D57" s="41" t="s">
        <v>42</v>
      </c>
    </row>
    <row r="58" spans="1:13" ht="29.5" x14ac:dyDescent="0.75">
      <c r="D58" t="str">
        <f>D22</f>
        <v>Analog</v>
      </c>
      <c r="E58" t="s">
        <v>23</v>
      </c>
      <c r="F58" s="6" t="s">
        <v>29</v>
      </c>
      <c r="G58" s="6" t="s">
        <v>26</v>
      </c>
      <c r="H58" s="6" t="s">
        <v>27</v>
      </c>
      <c r="I58" s="6" t="s">
        <v>28</v>
      </c>
      <c r="J58" s="6" t="s">
        <v>30</v>
      </c>
      <c r="K58" s="4" t="s">
        <v>40</v>
      </c>
      <c r="L58" s="6" t="s">
        <v>36</v>
      </c>
      <c r="M58" s="6" t="s">
        <v>97</v>
      </c>
    </row>
    <row r="59" spans="1:13" x14ac:dyDescent="0.75">
      <c r="D59" t="s">
        <v>100</v>
      </c>
      <c r="E59" t="s">
        <v>6</v>
      </c>
      <c r="F59" s="47">
        <v>2070</v>
      </c>
      <c r="G59">
        <v>4876.2520860374989</v>
      </c>
      <c r="H59" s="2">
        <v>839.5</v>
      </c>
      <c r="L59">
        <v>0.18655555555555556</v>
      </c>
      <c r="M59" s="37">
        <v>8.6944000708842825E-3</v>
      </c>
    </row>
    <row r="60" spans="1:13" x14ac:dyDescent="0.75">
      <c r="D60" t="s">
        <v>100</v>
      </c>
      <c r="E60" t="s">
        <v>6</v>
      </c>
      <c r="F60" s="47">
        <v>5150</v>
      </c>
      <c r="G60">
        <v>75092.540917187551</v>
      </c>
      <c r="H60" s="2">
        <v>73</v>
      </c>
      <c r="L60">
        <v>1.6222222222222221E-2</v>
      </c>
      <c r="M60" s="37">
        <v>6.2853936105470892E-4</v>
      </c>
    </row>
    <row r="67" ht="18" customHeight="1" x14ac:dyDescent="0.75"/>
    <row r="68" ht="18" customHeight="1" x14ac:dyDescent="0.75"/>
    <row r="69" ht="15.75" customHeight="1" x14ac:dyDescent="0.75"/>
  </sheetData>
  <sortState xmlns:xlrd2="http://schemas.microsoft.com/office/spreadsheetml/2017/richdata2" ref="S2:Y13">
    <sortCondition ref="T2:T1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DD339-1C8A-49D8-96A3-B75509B05F7C}">
  <dimension ref="A1:AA54"/>
  <sheetViews>
    <sheetView zoomScale="112" zoomScaleNormal="112" workbookViewId="0">
      <selection activeCell="U9" sqref="U9"/>
    </sheetView>
  </sheetViews>
  <sheetFormatPr defaultRowHeight="14.75" x14ac:dyDescent="0.75"/>
  <cols>
    <col min="1" max="1" width="21.86328125" style="24" bestFit="1" customWidth="1"/>
    <col min="2" max="3" width="9.1328125" style="24"/>
    <col min="4" max="4" width="8.7265625" style="44" bestFit="1" customWidth="1"/>
    <col min="5" max="5" width="10.26953125" style="44" bestFit="1" customWidth="1"/>
    <col min="6" max="6" width="9.1328125" style="44" bestFit="1" customWidth="1"/>
    <col min="7" max="7" width="10.54296875" style="44" bestFit="1" customWidth="1"/>
    <col min="8" max="8" width="10.40625" style="44" bestFit="1" customWidth="1"/>
    <col min="9" max="9" width="12.54296875" style="44" bestFit="1" customWidth="1"/>
    <col min="10" max="10" width="18" style="24" bestFit="1" customWidth="1"/>
    <col min="11" max="11" width="11.1328125" style="24" bestFit="1" customWidth="1"/>
    <col min="12" max="12" width="8.1328125" style="24" customWidth="1"/>
    <col min="13" max="13" width="11.40625" style="24" customWidth="1"/>
    <col min="14" max="14" width="13.1328125" style="24" customWidth="1"/>
    <col min="15" max="15" width="8.7265625" style="24" bestFit="1" customWidth="1"/>
    <col min="16" max="16" width="10.26953125" style="24" bestFit="1" customWidth="1"/>
    <col min="17" max="17" width="11.54296875" style="24" bestFit="1" customWidth="1"/>
    <col min="18" max="18" width="12.54296875" bestFit="1" customWidth="1"/>
    <col min="19" max="19" width="10.40625" bestFit="1" customWidth="1"/>
    <col min="20" max="20" width="8.26953125" bestFit="1" customWidth="1"/>
    <col min="21" max="21" width="11.54296875" bestFit="1" customWidth="1"/>
    <col min="24" max="24" width="11.54296875" bestFit="1" customWidth="1"/>
  </cols>
  <sheetData>
    <row r="1" spans="1:27" s="4" customFormat="1" ht="44.25" x14ac:dyDescent="0.75">
      <c r="A1" s="20" t="s">
        <v>86</v>
      </c>
      <c r="B1" s="21"/>
      <c r="C1" s="22"/>
      <c r="D1" s="43" t="s">
        <v>24</v>
      </c>
      <c r="E1" s="43" t="s">
        <v>23</v>
      </c>
      <c r="F1" s="43" t="s">
        <v>29</v>
      </c>
      <c r="G1" s="43" t="s">
        <v>26</v>
      </c>
      <c r="H1" s="43" t="s">
        <v>27</v>
      </c>
      <c r="I1" s="43" t="s">
        <v>28</v>
      </c>
      <c r="J1" s="22" t="s">
        <v>30</v>
      </c>
      <c r="K1" s="21" t="s">
        <v>40</v>
      </c>
      <c r="L1" s="22" t="s">
        <v>36</v>
      </c>
      <c r="M1" s="21" t="s">
        <v>79</v>
      </c>
      <c r="N1" s="21" t="s">
        <v>80</v>
      </c>
      <c r="O1" s="21"/>
      <c r="P1" s="21"/>
      <c r="Q1" s="21"/>
      <c r="R1" s="6" t="s">
        <v>24</v>
      </c>
      <c r="S1" s="6" t="s">
        <v>23</v>
      </c>
      <c r="T1" s="6" t="s">
        <v>29</v>
      </c>
      <c r="U1" s="6" t="s">
        <v>26</v>
      </c>
      <c r="V1" s="6" t="s">
        <v>27</v>
      </c>
      <c r="W1" s="6" t="s">
        <v>28</v>
      </c>
      <c r="X1" s="6" t="s">
        <v>30</v>
      </c>
      <c r="Y1" s="4" t="s">
        <v>34</v>
      </c>
      <c r="Z1" s="6" t="s">
        <v>36</v>
      </c>
    </row>
    <row r="2" spans="1:27" x14ac:dyDescent="0.75">
      <c r="A2" s="23" t="s">
        <v>83</v>
      </c>
      <c r="C2" s="25"/>
      <c r="D2" s="44" t="s">
        <v>2</v>
      </c>
      <c r="E2" s="44" t="s">
        <v>6</v>
      </c>
      <c r="F2" s="44">
        <v>60</v>
      </c>
      <c r="G2" s="42">
        <v>2.1827142000000004</v>
      </c>
      <c r="H2" s="42">
        <v>654.25</v>
      </c>
      <c r="I2" s="42">
        <v>129.72236275053774</v>
      </c>
      <c r="J2" s="26">
        <v>1297223.6275053774</v>
      </c>
      <c r="K2" s="27">
        <f>30/60</f>
        <v>0.5</v>
      </c>
      <c r="L2" s="28">
        <f>IF(H2&lt;&gt;"0",(H2/$B$7)/(K2*$B$6),"")</f>
        <v>0.21104838709677418</v>
      </c>
      <c r="M2" s="28">
        <f>L2</f>
        <v>0.21104838709677418</v>
      </c>
      <c r="R2" t="s">
        <v>4</v>
      </c>
      <c r="S2" t="s">
        <v>6</v>
      </c>
      <c r="T2">
        <v>60</v>
      </c>
      <c r="U2" s="2">
        <v>2.1827142000000004</v>
      </c>
      <c r="V2" s="2">
        <v>584.33333333333337</v>
      </c>
      <c r="W2" s="2">
        <v>129.77946310721666</v>
      </c>
      <c r="X2" s="2">
        <v>1297794.6310721666</v>
      </c>
      <c r="Y2" s="1">
        <f>30/60</f>
        <v>0.5</v>
      </c>
      <c r="Z2" s="10">
        <f>IF(V2&lt;&gt;"0",(V2/$B$7)/(Y2*$B$6),"")</f>
        <v>0.18849462365591399</v>
      </c>
    </row>
    <row r="3" spans="1:27" x14ac:dyDescent="0.75">
      <c r="A3" s="29" t="s">
        <v>87</v>
      </c>
      <c r="C3" s="26"/>
      <c r="D3" s="45" t="s">
        <v>2</v>
      </c>
      <c r="E3" s="45" t="s">
        <v>6</v>
      </c>
      <c r="F3" s="45">
        <v>80</v>
      </c>
      <c r="G3" s="46">
        <v>5.1738410666666663</v>
      </c>
      <c r="H3" s="46">
        <v>647</v>
      </c>
      <c r="I3" s="46">
        <v>339.13740668602003</v>
      </c>
      <c r="J3" s="26">
        <v>3391374.0668602004</v>
      </c>
      <c r="K3" s="27">
        <f t="shared" ref="K3:K6" si="0">30/60</f>
        <v>0.5</v>
      </c>
      <c r="L3" s="28">
        <f>IF(H3&lt;&gt;"0",(H3/$B$7)/(K3*$B$6),"")</f>
        <v>0.20870967741935484</v>
      </c>
      <c r="M3" s="28">
        <f t="shared" ref="M3:M6" si="1">L3</f>
        <v>0.20870967741935484</v>
      </c>
      <c r="R3" s="41" t="s">
        <v>4</v>
      </c>
      <c r="S3" s="41" t="s">
        <v>6</v>
      </c>
      <c r="T3" s="41">
        <v>80</v>
      </c>
      <c r="U3" s="3">
        <v>5.1738410666666663</v>
      </c>
      <c r="V3" s="3">
        <v>631.33333333333303</v>
      </c>
      <c r="W3" s="3">
        <v>260.60865095244168</v>
      </c>
      <c r="X3" s="2">
        <v>2606086.5095244166</v>
      </c>
      <c r="Y3" s="1">
        <f t="shared" ref="Y3:Y6" si="2">30/60</f>
        <v>0.5</v>
      </c>
      <c r="Z3" s="10">
        <f>IF(V3&lt;&gt;"0",(V3/$B$7)/(Y3*$B$6),"")</f>
        <v>0.20365591397849453</v>
      </c>
    </row>
    <row r="4" spans="1:27" x14ac:dyDescent="0.75">
      <c r="D4" s="44" t="s">
        <v>2</v>
      </c>
      <c r="E4" s="44" t="s">
        <v>6</v>
      </c>
      <c r="F4" s="44">
        <v>150</v>
      </c>
      <c r="G4" s="42">
        <v>34.104909374999998</v>
      </c>
      <c r="H4" s="42">
        <v>655.33333333333337</v>
      </c>
      <c r="I4" s="42">
        <v>2654.6178504106001</v>
      </c>
      <c r="J4" s="26">
        <v>26546178.504106</v>
      </c>
      <c r="K4" s="27">
        <f t="shared" si="0"/>
        <v>0.5</v>
      </c>
      <c r="L4" s="28">
        <f>IF(H4&lt;&gt;"0",(H4/$B$7)/(K4*$B$6),"")</f>
        <v>0.21139784946236562</v>
      </c>
      <c r="M4" s="28">
        <f t="shared" si="1"/>
        <v>0.21139784946236562</v>
      </c>
      <c r="R4" t="s">
        <v>4</v>
      </c>
      <c r="S4" t="s">
        <v>6</v>
      </c>
      <c r="T4">
        <v>150</v>
      </c>
      <c r="U4" s="2">
        <v>34.104909374999998</v>
      </c>
      <c r="V4" s="2">
        <v>645</v>
      </c>
      <c r="W4" s="2">
        <v>2478.7479029712235</v>
      </c>
      <c r="X4" s="2">
        <v>24787479.029712234</v>
      </c>
      <c r="Y4" s="1">
        <f t="shared" si="2"/>
        <v>0.5</v>
      </c>
      <c r="Z4" s="10">
        <f>IF(V4&lt;&gt;"0",(V4/$B$7)/(Y4*$B$6),"")</f>
        <v>0.20806451612903226</v>
      </c>
    </row>
    <row r="5" spans="1:27" x14ac:dyDescent="0.75">
      <c r="A5" s="30" t="s">
        <v>37</v>
      </c>
      <c r="B5" s="22"/>
      <c r="D5" s="44" t="s">
        <v>2</v>
      </c>
      <c r="E5" s="44" t="s">
        <v>6</v>
      </c>
      <c r="F5" s="44">
        <v>200</v>
      </c>
      <c r="G5" s="42">
        <v>80.841266666666684</v>
      </c>
      <c r="H5" s="42">
        <v>336.66666666666669</v>
      </c>
      <c r="I5" s="42">
        <v>6233.0500582378199</v>
      </c>
      <c r="J5" s="26">
        <v>62330500.582378201</v>
      </c>
      <c r="K5" s="27">
        <f t="shared" si="0"/>
        <v>0.5</v>
      </c>
      <c r="L5" s="28">
        <f>IF(H5&lt;&gt;"0",(H5/$B$7)/(K5*$B$6),"")</f>
        <v>0.1086021505376344</v>
      </c>
      <c r="M5" s="28"/>
      <c r="N5" s="24" t="s">
        <v>81</v>
      </c>
      <c r="R5" t="s">
        <v>4</v>
      </c>
      <c r="S5" t="s">
        <v>6</v>
      </c>
      <c r="T5">
        <v>200</v>
      </c>
      <c r="U5" s="2">
        <v>80.841266666666684</v>
      </c>
      <c r="V5" s="2">
        <v>327.33333333333331</v>
      </c>
      <c r="W5" s="2">
        <v>134.16190868254066</v>
      </c>
      <c r="X5" s="2">
        <v>1341619.0868254066</v>
      </c>
      <c r="Y5" s="1">
        <f t="shared" si="2"/>
        <v>0.5</v>
      </c>
      <c r="Z5" s="10">
        <f>IF(V5&lt;&gt;"0",(V5/$B$7)/(Y5*$B$6),"")</f>
        <v>0.10559139784946235</v>
      </c>
    </row>
    <row r="6" spans="1:27" x14ac:dyDescent="0.75">
      <c r="A6" s="26" t="s">
        <v>38</v>
      </c>
      <c r="B6" s="25">
        <v>6.2E-2</v>
      </c>
      <c r="D6" s="44" t="s">
        <v>2</v>
      </c>
      <c r="E6" s="44" t="s">
        <v>6</v>
      </c>
      <c r="F6" s="44">
        <v>500</v>
      </c>
      <c r="G6" s="42">
        <v>1263.1447916666666</v>
      </c>
      <c r="H6" s="42">
        <v>58.333333333333336</v>
      </c>
      <c r="I6" s="42">
        <v>133792609.07510869</v>
      </c>
      <c r="J6" s="26">
        <v>1337926090751.0869</v>
      </c>
      <c r="K6" s="27">
        <f t="shared" si="0"/>
        <v>0.5</v>
      </c>
      <c r="L6" s="28">
        <f>IF(H6&lt;&gt;"0",(H6/$B$7)/(K6*$B$6),"")</f>
        <v>1.8817204301075269E-2</v>
      </c>
      <c r="M6" s="28">
        <f t="shared" si="1"/>
        <v>1.8817204301075269E-2</v>
      </c>
      <c r="R6" t="s">
        <v>4</v>
      </c>
      <c r="S6" t="s">
        <v>6</v>
      </c>
      <c r="T6">
        <v>500</v>
      </c>
      <c r="U6" s="2">
        <v>1263.1447916666666</v>
      </c>
      <c r="V6" s="2">
        <v>67.666666666666671</v>
      </c>
      <c r="W6" s="2">
        <v>147.46992579405</v>
      </c>
      <c r="X6" s="2">
        <v>1474699.2579405</v>
      </c>
      <c r="Y6" s="1">
        <f t="shared" si="2"/>
        <v>0.5</v>
      </c>
      <c r="Z6" s="10">
        <f>IF(V6&lt;&gt;"0",(V6/$B$7)/(Y6*$B$6),"")</f>
        <v>2.1827956989247312E-2</v>
      </c>
    </row>
    <row r="7" spans="1:27" x14ac:dyDescent="0.75">
      <c r="A7" s="26" t="s">
        <v>39</v>
      </c>
      <c r="B7" s="26">
        <v>100000</v>
      </c>
    </row>
    <row r="9" spans="1:27" s="4" customFormat="1" ht="44.25" x14ac:dyDescent="0.75">
      <c r="A9" s="21"/>
      <c r="B9" s="21"/>
      <c r="C9" s="21"/>
      <c r="D9" s="43" t="s">
        <v>24</v>
      </c>
      <c r="E9" s="43" t="s">
        <v>23</v>
      </c>
      <c r="F9" s="43" t="s">
        <v>29</v>
      </c>
      <c r="G9" s="43" t="s">
        <v>26</v>
      </c>
      <c r="H9" s="43" t="s">
        <v>27</v>
      </c>
      <c r="I9" s="43" t="s">
        <v>28</v>
      </c>
      <c r="J9" s="22" t="s">
        <v>30</v>
      </c>
      <c r="K9" s="21" t="s">
        <v>40</v>
      </c>
      <c r="L9" s="22" t="s">
        <v>36</v>
      </c>
      <c r="M9" s="21" t="s">
        <v>79</v>
      </c>
      <c r="N9" s="21"/>
      <c r="O9" s="21"/>
      <c r="P9" s="21"/>
      <c r="Q9" s="21"/>
      <c r="R9" s="6" t="s">
        <v>24</v>
      </c>
      <c r="S9" s="6" t="s">
        <v>23</v>
      </c>
      <c r="T9" s="6" t="s">
        <v>29</v>
      </c>
      <c r="U9" s="6" t="s">
        <v>26</v>
      </c>
      <c r="V9" s="6" t="s">
        <v>27</v>
      </c>
      <c r="W9" s="6" t="s">
        <v>28</v>
      </c>
      <c r="X9" s="6" t="s">
        <v>30</v>
      </c>
      <c r="Y9" s="4" t="s">
        <v>34</v>
      </c>
      <c r="Z9" s="6" t="s">
        <v>36</v>
      </c>
    </row>
    <row r="10" spans="1:27" x14ac:dyDescent="0.75">
      <c r="D10" s="44" t="s">
        <v>2</v>
      </c>
      <c r="E10" s="44" t="s">
        <v>3</v>
      </c>
      <c r="F10" s="44">
        <v>60</v>
      </c>
      <c r="G10" s="42">
        <v>2.1827142000000004</v>
      </c>
      <c r="H10" s="42">
        <v>71</v>
      </c>
      <c r="I10" s="42">
        <v>17.540753739604149</v>
      </c>
      <c r="J10" s="26">
        <v>175407.5373960415</v>
      </c>
      <c r="K10" s="27">
        <f>30/60</f>
        <v>0.5</v>
      </c>
      <c r="L10" s="28">
        <f t="shared" ref="L10:L16" si="3">IF(H10&lt;&gt;"0",(H10/$B$7)/(K10*$B$6),"")</f>
        <v>2.2903225806451613E-2</v>
      </c>
      <c r="N10" s="26" t="s">
        <v>41</v>
      </c>
      <c r="R10" t="s">
        <v>4</v>
      </c>
      <c r="S10" t="s">
        <v>3</v>
      </c>
      <c r="T10">
        <v>60</v>
      </c>
      <c r="U10" s="2">
        <v>2.1827142000000004</v>
      </c>
      <c r="V10" s="2">
        <v>61</v>
      </c>
      <c r="W10" s="2">
        <v>17.264037855388601</v>
      </c>
      <c r="X10" s="2">
        <v>172640.378553886</v>
      </c>
      <c r="Y10" s="1">
        <f>30/60</f>
        <v>0.5</v>
      </c>
      <c r="Z10" s="10">
        <f>IF(V10&lt;&gt;"0",(V10/$B$7)/(Y10*$B$6),"")</f>
        <v>1.9677419354838709E-2</v>
      </c>
    </row>
    <row r="11" spans="1:27" x14ac:dyDescent="0.75">
      <c r="D11" s="45" t="s">
        <v>2</v>
      </c>
      <c r="E11" s="45" t="s">
        <v>3</v>
      </c>
      <c r="F11" s="45">
        <v>80</v>
      </c>
      <c r="G11" s="46">
        <v>5.1738410666666663</v>
      </c>
      <c r="H11" s="46">
        <v>446.66666666666669</v>
      </c>
      <c r="I11" s="46">
        <v>28.09602897510543</v>
      </c>
      <c r="J11" s="26">
        <v>280960.28975105431</v>
      </c>
      <c r="K11" s="27">
        <f t="shared" ref="K11:K14" si="4">30/60</f>
        <v>0.5</v>
      </c>
      <c r="L11" s="28">
        <f t="shared" si="3"/>
        <v>0.14408602150537633</v>
      </c>
      <c r="M11" s="31"/>
      <c r="N11" s="26" t="s">
        <v>41</v>
      </c>
      <c r="R11" t="s">
        <v>4</v>
      </c>
      <c r="S11" t="s">
        <v>3</v>
      </c>
      <c r="T11">
        <v>80</v>
      </c>
      <c r="U11" s="2">
        <v>5.1738410666666663</v>
      </c>
      <c r="V11" s="2">
        <v>480.33333333333331</v>
      </c>
      <c r="W11" s="2">
        <v>27.866598156820999</v>
      </c>
      <c r="X11" s="2">
        <v>278665.98156821</v>
      </c>
      <c r="Y11" s="1">
        <f t="shared" ref="Y11:Y14" si="5">30/60</f>
        <v>0.5</v>
      </c>
      <c r="Z11" s="10">
        <f>IF(V11&lt;&gt;"0",(V11/$B$7)/(Y11*$B$6),"")</f>
        <v>0.15494623655913978</v>
      </c>
    </row>
    <row r="12" spans="1:27" x14ac:dyDescent="0.75">
      <c r="D12" s="44" t="s">
        <v>2</v>
      </c>
      <c r="E12" s="44" t="s">
        <v>3</v>
      </c>
      <c r="F12" s="44">
        <v>150</v>
      </c>
      <c r="G12" s="42">
        <v>34.104909374999998</v>
      </c>
      <c r="H12" s="42">
        <v>618.33333333333337</v>
      </c>
      <c r="I12" s="42">
        <v>186.563626583618</v>
      </c>
      <c r="J12" s="26">
        <v>1865636.26583618</v>
      </c>
      <c r="K12" s="27">
        <f t="shared" si="4"/>
        <v>0.5</v>
      </c>
      <c r="L12" s="28">
        <f t="shared" si="3"/>
        <v>0.19946236559139788</v>
      </c>
      <c r="M12" s="31">
        <f t="shared" ref="M12:M16" si="6">L12</f>
        <v>0.19946236559139788</v>
      </c>
      <c r="R12" t="s">
        <v>4</v>
      </c>
      <c r="S12" t="s">
        <v>3</v>
      </c>
      <c r="T12">
        <v>150</v>
      </c>
      <c r="U12" s="2">
        <v>34.104909374999998</v>
      </c>
      <c r="V12" s="2">
        <v>567.33333333333337</v>
      </c>
      <c r="W12" s="2">
        <v>188.46875510104499</v>
      </c>
      <c r="X12" s="2">
        <v>1884687.5510104499</v>
      </c>
      <c r="Y12" s="1">
        <f t="shared" si="5"/>
        <v>0.5</v>
      </c>
      <c r="Z12" s="10">
        <f>IF(V12&lt;&gt;"0",(V12/$B$7)/(Y12*$B$6),"")</f>
        <v>0.18301075268817207</v>
      </c>
    </row>
    <row r="13" spans="1:27" x14ac:dyDescent="0.75">
      <c r="D13" s="44" t="s">
        <v>2</v>
      </c>
      <c r="E13" s="44" t="s">
        <v>3</v>
      </c>
      <c r="F13" s="44">
        <v>200</v>
      </c>
      <c r="G13" s="42">
        <v>80.841266666666684</v>
      </c>
      <c r="H13" s="42">
        <v>272.33333333333331</v>
      </c>
      <c r="I13" s="42">
        <v>496.30698360171527</v>
      </c>
      <c r="J13" s="26">
        <v>4963069.8360171523</v>
      </c>
      <c r="K13" s="27">
        <f t="shared" si="4"/>
        <v>0.5</v>
      </c>
      <c r="L13" s="28">
        <f t="shared" si="3"/>
        <v>8.7849462365591394E-2</v>
      </c>
      <c r="M13" s="31"/>
      <c r="N13" s="24" t="s">
        <v>81</v>
      </c>
      <c r="R13" t="s">
        <v>4</v>
      </c>
      <c r="S13" t="s">
        <v>3</v>
      </c>
      <c r="T13">
        <v>200</v>
      </c>
      <c r="U13" s="2">
        <v>80.841266666666684</v>
      </c>
      <c r="V13" s="2">
        <v>315</v>
      </c>
      <c r="W13" s="2">
        <v>239.27288979818135</v>
      </c>
      <c r="X13" s="2">
        <v>2392728.8979818136</v>
      </c>
      <c r="Y13" s="1">
        <f t="shared" si="5"/>
        <v>0.5</v>
      </c>
      <c r="Z13" s="10">
        <f>IF(V13&lt;&gt;"0",(V13/$B$7)/(Y13*$B$6),"")</f>
        <v>0.10161290322580645</v>
      </c>
    </row>
    <row r="14" spans="1:27" x14ac:dyDescent="0.75">
      <c r="D14" s="44" t="s">
        <v>2</v>
      </c>
      <c r="E14" s="44" t="s">
        <v>3</v>
      </c>
      <c r="F14" s="44">
        <v>500</v>
      </c>
      <c r="G14" s="42">
        <v>1263.1447916666666</v>
      </c>
      <c r="H14" s="42">
        <v>75.333333333333329</v>
      </c>
      <c r="I14" s="42">
        <v>9466.3188714705739</v>
      </c>
      <c r="J14" s="26">
        <v>94663188.714705735</v>
      </c>
      <c r="K14" s="27">
        <f t="shared" si="4"/>
        <v>0.5</v>
      </c>
      <c r="L14" s="28">
        <f t="shared" si="3"/>
        <v>2.4301075268817203E-2</v>
      </c>
      <c r="M14" s="31">
        <f t="shared" si="6"/>
        <v>2.4301075268817203E-2</v>
      </c>
      <c r="R14" t="s">
        <v>4</v>
      </c>
      <c r="S14" t="s">
        <v>3</v>
      </c>
      <c r="T14">
        <v>500</v>
      </c>
      <c r="U14" s="2">
        <v>1263.1447916666666</v>
      </c>
      <c r="V14" s="2">
        <v>49.666666666666664</v>
      </c>
      <c r="W14" s="2">
        <v>96.869439161606167</v>
      </c>
      <c r="X14" s="7">
        <v>968694.39161606168</v>
      </c>
      <c r="Y14" s="1">
        <f t="shared" si="5"/>
        <v>0.5</v>
      </c>
      <c r="Z14" s="10">
        <f>IF(V14&lt;&gt;"0",(V14/$B$7)/(Y14*$B$6),"")</f>
        <v>1.6021505376344086E-2</v>
      </c>
      <c r="AA14" t="s">
        <v>35</v>
      </c>
    </row>
    <row r="15" spans="1:27" x14ac:dyDescent="0.75">
      <c r="D15" s="44" t="s">
        <v>2</v>
      </c>
      <c r="E15" s="44" t="s">
        <v>3</v>
      </c>
      <c r="F15" s="44">
        <v>1000</v>
      </c>
      <c r="G15" s="42">
        <v>10105.158333333333</v>
      </c>
      <c r="H15" s="42">
        <v>264.88888888888903</v>
      </c>
      <c r="I15" s="42">
        <v>24125.018752856242</v>
      </c>
      <c r="J15" s="26">
        <v>241250187.52856243</v>
      </c>
      <c r="K15" s="27">
        <f>100/60</f>
        <v>1.6666666666666667</v>
      </c>
      <c r="L15" s="28">
        <f t="shared" si="3"/>
        <v>2.5634408602150553E-2</v>
      </c>
      <c r="M15" s="31">
        <f t="shared" si="6"/>
        <v>2.5634408602150553E-2</v>
      </c>
      <c r="V15" s="2"/>
      <c r="W15" s="10"/>
    </row>
    <row r="16" spans="1:27" x14ac:dyDescent="0.75">
      <c r="D16" s="44" t="s">
        <v>2</v>
      </c>
      <c r="E16" s="44" t="s">
        <v>3</v>
      </c>
      <c r="F16" s="44">
        <v>1500</v>
      </c>
      <c r="G16" s="42">
        <v>34104.909374999988</v>
      </c>
      <c r="H16" s="42">
        <v>241.55555555555554</v>
      </c>
      <c r="I16" s="42">
        <v>53490.538176564725</v>
      </c>
      <c r="J16" s="26">
        <v>534905381.76564723</v>
      </c>
      <c r="K16" s="27">
        <f>100/60</f>
        <v>1.6666666666666667</v>
      </c>
      <c r="L16" s="28">
        <f t="shared" si="3"/>
        <v>2.3376344086021503E-2</v>
      </c>
      <c r="M16" s="31">
        <f t="shared" si="6"/>
        <v>2.3376344086021503E-2</v>
      </c>
      <c r="V16" s="2"/>
      <c r="W16" s="10"/>
    </row>
    <row r="17" spans="1:14" x14ac:dyDescent="0.75">
      <c r="I17" s="42"/>
    </row>
    <row r="18" spans="1:14" ht="29.5" x14ac:dyDescent="0.75">
      <c r="A18" s="32" t="s">
        <v>85</v>
      </c>
      <c r="D18" s="43" t="s">
        <v>24</v>
      </c>
      <c r="E18" s="43" t="s">
        <v>23</v>
      </c>
      <c r="F18" s="43" t="s">
        <v>29</v>
      </c>
      <c r="G18" s="43" t="s">
        <v>26</v>
      </c>
      <c r="H18" s="43" t="s">
        <v>27</v>
      </c>
      <c r="I18" s="43" t="s">
        <v>28</v>
      </c>
      <c r="J18" s="22" t="s">
        <v>30</v>
      </c>
      <c r="K18" s="21" t="s">
        <v>40</v>
      </c>
      <c r="L18" s="22" t="s">
        <v>36</v>
      </c>
      <c r="M18" s="21" t="s">
        <v>79</v>
      </c>
    </row>
    <row r="19" spans="1:14" x14ac:dyDescent="0.75">
      <c r="A19" s="23" t="s">
        <v>83</v>
      </c>
      <c r="D19" s="44" t="s">
        <v>2</v>
      </c>
      <c r="E19" s="44" t="s">
        <v>6</v>
      </c>
      <c r="F19" s="44">
        <v>480</v>
      </c>
      <c r="G19" s="42">
        <v>115.808256</v>
      </c>
      <c r="H19" s="42">
        <v>278</v>
      </c>
      <c r="I19" s="42">
        <v>136.95910731563873</v>
      </c>
      <c r="J19" s="26">
        <f>I19*1000</f>
        <v>136959.10731563874</v>
      </c>
      <c r="K19" s="27">
        <f>30/60</f>
        <v>0.5</v>
      </c>
      <c r="L19" s="28">
        <f t="shared" ref="L19:L27" si="7">IF(H19&lt;&gt;"0",(H19/$B$7)/(K19*$B$6),"")</f>
        <v>8.9677419354838708E-2</v>
      </c>
      <c r="N19" s="26" t="s">
        <v>41</v>
      </c>
    </row>
    <row r="20" spans="1:14" x14ac:dyDescent="0.75">
      <c r="A20" s="29" t="s">
        <v>84</v>
      </c>
      <c r="D20" s="44" t="s">
        <v>2</v>
      </c>
      <c r="E20" s="44" t="s">
        <v>6</v>
      </c>
      <c r="F20" s="44">
        <v>690</v>
      </c>
      <c r="G20" s="42">
        <v>344.00367449999993</v>
      </c>
      <c r="H20" s="42">
        <v>388</v>
      </c>
      <c r="I20" s="42">
        <v>540.43064630553204</v>
      </c>
      <c r="J20" s="26">
        <f t="shared" ref="J20:J27" si="8">I20*1000</f>
        <v>540430.64630553208</v>
      </c>
      <c r="K20" s="27">
        <f t="shared" ref="K20:K27" si="9">30/60</f>
        <v>0.5</v>
      </c>
      <c r="L20" s="28">
        <f t="shared" si="7"/>
        <v>0.12516129032258067</v>
      </c>
      <c r="M20" s="33">
        <f>L20</f>
        <v>0.12516129032258067</v>
      </c>
    </row>
    <row r="21" spans="1:14" x14ac:dyDescent="0.75">
      <c r="D21" s="44" t="s">
        <v>2</v>
      </c>
      <c r="E21" s="44" t="s">
        <v>6</v>
      </c>
      <c r="F21" s="44">
        <v>730</v>
      </c>
      <c r="G21" s="42">
        <v>407.36563516666666</v>
      </c>
      <c r="H21" s="42">
        <v>314.33333333333331</v>
      </c>
      <c r="I21" s="42">
        <v>753.04296438963195</v>
      </c>
      <c r="J21" s="26">
        <f t="shared" si="8"/>
        <v>753042.96438963199</v>
      </c>
      <c r="K21" s="27">
        <f t="shared" si="9"/>
        <v>0.5</v>
      </c>
      <c r="L21" s="28">
        <f t="shared" si="7"/>
        <v>0.10139784946236559</v>
      </c>
      <c r="M21" s="33">
        <f t="shared" ref="M21:M27" si="10">L21</f>
        <v>0.10139784946236559</v>
      </c>
    </row>
    <row r="22" spans="1:14" x14ac:dyDescent="0.75">
      <c r="D22" s="44" t="s">
        <v>2</v>
      </c>
      <c r="E22" s="44" t="s">
        <v>6</v>
      </c>
      <c r="F22" s="44">
        <v>895</v>
      </c>
      <c r="G22" s="42">
        <v>750.73197785416642</v>
      </c>
      <c r="H22" s="42">
        <v>299.33333333333331</v>
      </c>
      <c r="I22" s="42">
        <v>1209.6309583667132</v>
      </c>
      <c r="J22" s="26">
        <f t="shared" si="8"/>
        <v>1209630.9583667133</v>
      </c>
      <c r="K22" s="27">
        <f t="shared" si="9"/>
        <v>0.5</v>
      </c>
      <c r="L22" s="28">
        <f t="shared" si="7"/>
        <v>9.6559139784946235E-2</v>
      </c>
      <c r="M22" s="33">
        <f t="shared" si="10"/>
        <v>9.6559139784946235E-2</v>
      </c>
    </row>
    <row r="23" spans="1:14" x14ac:dyDescent="0.75">
      <c r="D23" s="44" t="s">
        <v>2</v>
      </c>
      <c r="E23" s="44" t="s">
        <v>6</v>
      </c>
      <c r="F23" s="44">
        <v>990</v>
      </c>
      <c r="G23" s="42">
        <v>1016.0647694999997</v>
      </c>
      <c r="H23" s="42">
        <v>142</v>
      </c>
      <c r="I23" s="42">
        <v>1915.90278310336</v>
      </c>
      <c r="J23" s="26">
        <f t="shared" si="8"/>
        <v>1915902.7831033599</v>
      </c>
      <c r="K23" s="27">
        <f t="shared" si="9"/>
        <v>0.5</v>
      </c>
      <c r="L23" s="28">
        <f t="shared" si="7"/>
        <v>4.5806451612903226E-2</v>
      </c>
      <c r="M23" s="33">
        <f t="shared" si="10"/>
        <v>4.5806451612903226E-2</v>
      </c>
    </row>
    <row r="24" spans="1:14" x14ac:dyDescent="0.75">
      <c r="D24" s="44" t="s">
        <v>2</v>
      </c>
      <c r="E24" s="44" t="s">
        <v>6</v>
      </c>
      <c r="F24" s="44">
        <v>1050</v>
      </c>
      <c r="G24" s="42">
        <v>1212.2263125000002</v>
      </c>
      <c r="H24" s="42">
        <f>305.333333333333</f>
        <v>305.33333333333297</v>
      </c>
      <c r="I24" s="42">
        <v>1722.48288439106</v>
      </c>
      <c r="J24" s="26">
        <f t="shared" si="8"/>
        <v>1722482.8843910601</v>
      </c>
      <c r="K24" s="27">
        <f t="shared" si="9"/>
        <v>0.5</v>
      </c>
      <c r="L24" s="28">
        <f t="shared" si="7"/>
        <v>9.8494623655913868E-2</v>
      </c>
      <c r="M24" s="33"/>
      <c r="N24" s="24" t="s">
        <v>82</v>
      </c>
    </row>
    <row r="25" spans="1:14" x14ac:dyDescent="0.75">
      <c r="D25" s="44" t="s">
        <v>2</v>
      </c>
      <c r="E25" s="44" t="s">
        <v>6</v>
      </c>
      <c r="F25" s="44">
        <v>1570</v>
      </c>
      <c r="G25" s="42">
        <v>4052.4229531666665</v>
      </c>
      <c r="H25" s="42">
        <v>161.33333333333334</v>
      </c>
      <c r="I25" s="42">
        <v>6132.4400193965166</v>
      </c>
      <c r="J25" s="26">
        <f t="shared" si="8"/>
        <v>6132440.0193965165</v>
      </c>
      <c r="K25" s="27">
        <f t="shared" si="9"/>
        <v>0.5</v>
      </c>
      <c r="L25" s="28">
        <f t="shared" si="7"/>
        <v>5.2043010752688176E-2</v>
      </c>
      <c r="M25" s="33">
        <f t="shared" si="10"/>
        <v>5.2043010752688176E-2</v>
      </c>
    </row>
    <row r="26" spans="1:14" x14ac:dyDescent="0.75">
      <c r="D26" s="44" t="s">
        <v>2</v>
      </c>
      <c r="E26" s="44" t="s">
        <v>6</v>
      </c>
      <c r="F26" s="44">
        <v>2060</v>
      </c>
      <c r="G26" s="44">
        <v>9154.1383213333302</v>
      </c>
      <c r="H26" s="42">
        <v>154.66666666666666</v>
      </c>
      <c r="I26" s="42">
        <v>10732.123150378766</v>
      </c>
      <c r="J26" s="26">
        <f t="shared" si="8"/>
        <v>10732123.150378766</v>
      </c>
      <c r="K26" s="27">
        <f t="shared" si="9"/>
        <v>0.5</v>
      </c>
      <c r="L26" s="28">
        <f t="shared" si="7"/>
        <v>4.9892473118279573E-2</v>
      </c>
      <c r="M26" s="33">
        <f t="shared" si="10"/>
        <v>4.9892473118279573E-2</v>
      </c>
    </row>
    <row r="27" spans="1:14" x14ac:dyDescent="0.75">
      <c r="D27" s="44" t="s">
        <v>2</v>
      </c>
      <c r="E27" s="44" t="s">
        <v>6</v>
      </c>
      <c r="F27" s="44">
        <v>3170</v>
      </c>
      <c r="G27" s="44">
        <v>33357.507779833337</v>
      </c>
      <c r="H27" s="42">
        <v>138.33333333333334</v>
      </c>
      <c r="I27" s="42">
        <v>27670.062025886731</v>
      </c>
      <c r="J27" s="26">
        <f t="shared" si="8"/>
        <v>27670062.025886729</v>
      </c>
      <c r="K27" s="27">
        <f t="shared" si="9"/>
        <v>0.5</v>
      </c>
      <c r="L27" s="28">
        <f t="shared" si="7"/>
        <v>4.4623655913978495E-2</v>
      </c>
      <c r="M27" s="33">
        <f t="shared" si="10"/>
        <v>4.4623655913978495E-2</v>
      </c>
    </row>
    <row r="28" spans="1:14" x14ac:dyDescent="0.75">
      <c r="K28" s="27"/>
    </row>
    <row r="29" spans="1:14" ht="29.5" x14ac:dyDescent="0.75">
      <c r="D29" s="43" t="s">
        <v>24</v>
      </c>
      <c r="E29" s="43" t="s">
        <v>23</v>
      </c>
      <c r="F29" s="43" t="s">
        <v>29</v>
      </c>
      <c r="G29" s="43" t="s">
        <v>26</v>
      </c>
      <c r="H29" s="43" t="s">
        <v>27</v>
      </c>
      <c r="I29" s="43" t="s">
        <v>28</v>
      </c>
      <c r="J29" s="22" t="s">
        <v>30</v>
      </c>
      <c r="K29" s="21" t="s">
        <v>40</v>
      </c>
      <c r="L29" s="22" t="s">
        <v>36</v>
      </c>
    </row>
    <row r="30" spans="1:14" x14ac:dyDescent="0.75">
      <c r="D30" s="44" t="s">
        <v>2</v>
      </c>
      <c r="E30" s="44" t="s">
        <v>6</v>
      </c>
      <c r="F30" s="44">
        <v>480</v>
      </c>
      <c r="G30" s="42">
        <v>115.808256</v>
      </c>
      <c r="H30" s="42">
        <v>11</v>
      </c>
      <c r="I30" s="42">
        <v>22.6404296370605</v>
      </c>
      <c r="J30" s="26">
        <f>I30*1000</f>
        <v>22640.429637060501</v>
      </c>
      <c r="K30" s="27">
        <f>30/60</f>
        <v>0.5</v>
      </c>
      <c r="L30" s="28">
        <f t="shared" ref="L30:L38" si="11">IF(H30&lt;&gt;"0",(H30/$B$7)/(K30*$B$6),"")</f>
        <v>3.5483870967741938E-3</v>
      </c>
      <c r="N30" s="26" t="s">
        <v>41</v>
      </c>
    </row>
    <row r="31" spans="1:14" x14ac:dyDescent="0.75">
      <c r="D31" s="44" t="s">
        <v>2</v>
      </c>
      <c r="E31" s="44" t="s">
        <v>6</v>
      </c>
      <c r="F31" s="44">
        <v>690</v>
      </c>
      <c r="G31" s="42">
        <v>344.00367449999993</v>
      </c>
      <c r="H31" s="42">
        <v>301.33333333333331</v>
      </c>
      <c r="I31" s="42">
        <v>35.970899546380402</v>
      </c>
      <c r="J31" s="26">
        <f t="shared" ref="J31:J38" si="12">I31*1000</f>
        <v>35970.899546380402</v>
      </c>
      <c r="K31" s="27">
        <f t="shared" ref="K31:K38" si="13">30/60</f>
        <v>0.5</v>
      </c>
      <c r="L31" s="28">
        <f t="shared" si="11"/>
        <v>9.7204301075268812E-2</v>
      </c>
      <c r="M31" s="33">
        <f>L31</f>
        <v>9.7204301075268812E-2</v>
      </c>
    </row>
    <row r="32" spans="1:14" x14ac:dyDescent="0.75">
      <c r="D32" s="44" t="s">
        <v>2</v>
      </c>
      <c r="E32" s="44" t="s">
        <v>6</v>
      </c>
      <c r="F32" s="44">
        <v>730</v>
      </c>
      <c r="G32" s="42">
        <v>407.36563516666666</v>
      </c>
      <c r="H32" s="42">
        <v>337</v>
      </c>
      <c r="I32" s="42">
        <v>47.88478406390167</v>
      </c>
      <c r="J32" s="26">
        <f t="shared" si="12"/>
        <v>47884.784063901672</v>
      </c>
      <c r="K32" s="27">
        <f t="shared" si="13"/>
        <v>0.5</v>
      </c>
      <c r="L32" s="28">
        <f t="shared" si="11"/>
        <v>0.10870967741935485</v>
      </c>
      <c r="M32" s="33">
        <f t="shared" ref="M32:M38" si="14">L32</f>
        <v>0.10870967741935485</v>
      </c>
    </row>
    <row r="33" spans="4:14" x14ac:dyDescent="0.75">
      <c r="D33" s="44" t="s">
        <v>2</v>
      </c>
      <c r="E33" s="44" t="s">
        <v>6</v>
      </c>
      <c r="F33" s="44">
        <v>895</v>
      </c>
      <c r="G33" s="42">
        <v>750.73197785416642</v>
      </c>
      <c r="H33" s="42">
        <v>330</v>
      </c>
      <c r="I33" s="42">
        <v>74.439057948519974</v>
      </c>
      <c r="J33" s="26">
        <f t="shared" si="12"/>
        <v>74439.057948519971</v>
      </c>
      <c r="K33" s="27">
        <f t="shared" si="13"/>
        <v>0.5</v>
      </c>
      <c r="L33" s="28">
        <f t="shared" si="11"/>
        <v>0.1064516129032258</v>
      </c>
      <c r="M33" s="33">
        <f t="shared" si="14"/>
        <v>0.1064516129032258</v>
      </c>
    </row>
    <row r="34" spans="4:14" x14ac:dyDescent="0.75">
      <c r="D34" s="44" t="s">
        <v>2</v>
      </c>
      <c r="E34" s="44" t="s">
        <v>6</v>
      </c>
      <c r="F34" s="44">
        <v>990</v>
      </c>
      <c r="G34" s="42">
        <v>1016.0647694999997</v>
      </c>
      <c r="H34" s="42">
        <v>170.33333333333334</v>
      </c>
      <c r="I34" s="42">
        <v>109.24397954103399</v>
      </c>
      <c r="J34" s="26">
        <f t="shared" si="12"/>
        <v>109243.979541034</v>
      </c>
      <c r="K34" s="27">
        <f t="shared" si="13"/>
        <v>0.5</v>
      </c>
      <c r="L34" s="28">
        <f t="shared" si="11"/>
        <v>5.4946236559139786E-2</v>
      </c>
      <c r="M34" s="33">
        <f t="shared" si="14"/>
        <v>5.4946236559139786E-2</v>
      </c>
    </row>
    <row r="35" spans="4:14" x14ac:dyDescent="0.75">
      <c r="D35" s="44" t="s">
        <v>2</v>
      </c>
      <c r="E35" s="44" t="s">
        <v>6</v>
      </c>
      <c r="F35" s="44">
        <v>1050</v>
      </c>
      <c r="G35" s="42">
        <v>1212.2263125000002</v>
      </c>
      <c r="H35" s="42">
        <f>322.666666666667</f>
        <v>322.66666666666703</v>
      </c>
      <c r="I35" s="42">
        <v>103.72938123710499</v>
      </c>
      <c r="J35" s="26">
        <f t="shared" si="12"/>
        <v>103729.38123710499</v>
      </c>
      <c r="K35" s="27">
        <f t="shared" si="13"/>
        <v>0.5</v>
      </c>
      <c r="L35" s="28">
        <f t="shared" si="11"/>
        <v>0.10408602150537646</v>
      </c>
      <c r="M35" s="33"/>
      <c r="N35" s="24" t="s">
        <v>82</v>
      </c>
    </row>
    <row r="36" spans="4:14" x14ac:dyDescent="0.75">
      <c r="D36" s="44" t="s">
        <v>2</v>
      </c>
      <c r="E36" s="44" t="s">
        <v>6</v>
      </c>
      <c r="F36" s="44">
        <v>1570</v>
      </c>
      <c r="G36" s="42">
        <v>4052.4229531666665</v>
      </c>
      <c r="H36" s="42">
        <v>182</v>
      </c>
      <c r="I36" s="42">
        <v>370.19483994315965</v>
      </c>
      <c r="J36" s="26">
        <f t="shared" si="12"/>
        <v>370194.83994315966</v>
      </c>
      <c r="K36" s="27">
        <f t="shared" si="13"/>
        <v>0.5</v>
      </c>
      <c r="L36" s="28">
        <f t="shared" si="11"/>
        <v>5.8709677419354837E-2</v>
      </c>
      <c r="M36" s="33">
        <f t="shared" si="14"/>
        <v>5.8709677419354837E-2</v>
      </c>
    </row>
    <row r="37" spans="4:14" x14ac:dyDescent="0.75">
      <c r="D37" s="44" t="s">
        <v>2</v>
      </c>
      <c r="E37" s="44" t="s">
        <v>6</v>
      </c>
      <c r="F37" s="44">
        <v>2060</v>
      </c>
      <c r="G37" s="44">
        <v>9154.1383213333302</v>
      </c>
      <c r="H37" s="42">
        <v>169.33333333333334</v>
      </c>
      <c r="I37" s="42">
        <v>673.30106878130073</v>
      </c>
      <c r="J37" s="26">
        <f t="shared" si="12"/>
        <v>673301.06878130068</v>
      </c>
      <c r="K37" s="27">
        <f t="shared" si="13"/>
        <v>0.5</v>
      </c>
      <c r="L37" s="28">
        <f t="shared" si="11"/>
        <v>5.4623655913978497E-2</v>
      </c>
      <c r="M37" s="33">
        <f t="shared" si="14"/>
        <v>5.4623655913978497E-2</v>
      </c>
    </row>
    <row r="38" spans="4:14" x14ac:dyDescent="0.75">
      <c r="D38" s="44" t="s">
        <v>2</v>
      </c>
      <c r="E38" s="44" t="s">
        <v>6</v>
      </c>
      <c r="F38" s="44">
        <v>3170</v>
      </c>
      <c r="G38" s="44">
        <v>33357.507779833337</v>
      </c>
      <c r="H38" s="42">
        <v>150.33333333333334</v>
      </c>
      <c r="I38" s="42">
        <v>1788.4027851739665</v>
      </c>
      <c r="J38" s="26">
        <f t="shared" si="12"/>
        <v>1788402.7851739665</v>
      </c>
      <c r="K38" s="27">
        <f t="shared" si="13"/>
        <v>0.5</v>
      </c>
      <c r="L38" s="28">
        <f t="shared" si="11"/>
        <v>4.8494623655913983E-2</v>
      </c>
      <c r="M38" s="33">
        <f t="shared" si="14"/>
        <v>4.8494623655913983E-2</v>
      </c>
    </row>
    <row r="44" spans="4:14" x14ac:dyDescent="0.75">
      <c r="D44" s="44" t="s">
        <v>42</v>
      </c>
    </row>
    <row r="45" spans="4:14" ht="29.5" x14ac:dyDescent="0.75">
      <c r="D45" s="44" t="str">
        <f>D9</f>
        <v>Detector</v>
      </c>
      <c r="E45" s="44" t="s">
        <v>23</v>
      </c>
      <c r="F45" s="43" t="s">
        <v>29</v>
      </c>
      <c r="G45" s="43" t="s">
        <v>26</v>
      </c>
      <c r="H45" s="43" t="s">
        <v>27</v>
      </c>
      <c r="I45" s="43" t="s">
        <v>28</v>
      </c>
      <c r="J45" s="22" t="s">
        <v>30</v>
      </c>
      <c r="K45" s="21" t="s">
        <v>40</v>
      </c>
      <c r="L45" s="22" t="s">
        <v>36</v>
      </c>
    </row>
    <row r="46" spans="4:14" x14ac:dyDescent="0.75">
      <c r="D46" s="44" t="s">
        <v>2</v>
      </c>
      <c r="E46" s="44" t="s">
        <v>6</v>
      </c>
      <c r="F46" s="44">
        <v>60</v>
      </c>
      <c r="G46" s="42">
        <f>G2</f>
        <v>2.1827142000000004</v>
      </c>
      <c r="L46" s="28">
        <v>0.31355555555555553</v>
      </c>
    </row>
    <row r="47" spans="4:14" x14ac:dyDescent="0.75">
      <c r="D47" s="44" t="s">
        <v>2</v>
      </c>
      <c r="E47" s="44" t="s">
        <v>6</v>
      </c>
      <c r="F47" s="44">
        <v>100</v>
      </c>
      <c r="G47" s="42">
        <v>10.105158333333335</v>
      </c>
      <c r="L47" s="28">
        <v>0.32095238095238093</v>
      </c>
    </row>
    <row r="48" spans="4:14" x14ac:dyDescent="0.75">
      <c r="D48" s="44" t="s">
        <v>2</v>
      </c>
      <c r="E48" s="44" t="s">
        <v>6</v>
      </c>
      <c r="F48" s="44">
        <v>200</v>
      </c>
      <c r="G48" s="42">
        <f>G5</f>
        <v>80.841266666666684</v>
      </c>
      <c r="L48" s="28">
        <v>0.3</v>
      </c>
    </row>
    <row r="49" spans="4:12" x14ac:dyDescent="0.75">
      <c r="D49" s="44" t="s">
        <v>2</v>
      </c>
      <c r="E49" s="44" t="s">
        <v>6</v>
      </c>
      <c r="F49" s="44">
        <v>480</v>
      </c>
      <c r="G49" s="42">
        <f>G30</f>
        <v>115.808256</v>
      </c>
      <c r="L49" s="28">
        <v>0.29948148148148152</v>
      </c>
    </row>
    <row r="50" spans="4:12" x14ac:dyDescent="0.75">
      <c r="D50" s="44" t="s">
        <v>2</v>
      </c>
      <c r="E50" s="44" t="s">
        <v>6</v>
      </c>
      <c r="F50" s="44">
        <v>730</v>
      </c>
      <c r="G50" s="42">
        <f>G32</f>
        <v>407.36563516666666</v>
      </c>
      <c r="L50" s="28">
        <v>0.28392592592592597</v>
      </c>
    </row>
    <row r="51" spans="4:12" x14ac:dyDescent="0.75">
      <c r="D51" s="44" t="s">
        <v>2</v>
      </c>
      <c r="E51" s="44" t="s">
        <v>6</v>
      </c>
      <c r="F51" s="44">
        <v>990</v>
      </c>
      <c r="G51" s="42">
        <f>G34</f>
        <v>1016.0647694999997</v>
      </c>
      <c r="L51" s="28">
        <v>0.1771851851851852</v>
      </c>
    </row>
    <row r="52" spans="4:12" x14ac:dyDescent="0.75">
      <c r="D52" s="44" t="s">
        <v>2</v>
      </c>
      <c r="E52" s="44" t="s">
        <v>6</v>
      </c>
      <c r="F52" s="44">
        <v>1570</v>
      </c>
      <c r="G52" s="42">
        <f>G36</f>
        <v>4052.4229531666665</v>
      </c>
      <c r="L52" s="28">
        <v>9.8518518518518519E-2</v>
      </c>
    </row>
    <row r="53" spans="4:12" x14ac:dyDescent="0.75">
      <c r="D53" s="44" t="s">
        <v>2</v>
      </c>
      <c r="E53" s="44" t="s">
        <v>6</v>
      </c>
      <c r="F53" s="44">
        <v>2060</v>
      </c>
      <c r="G53" s="42">
        <f>G37</f>
        <v>9154.1383213333302</v>
      </c>
      <c r="L53" s="28">
        <v>7.5688888888888889E-2</v>
      </c>
    </row>
    <row r="54" spans="4:12" x14ac:dyDescent="0.75">
      <c r="D54" s="44" t="s">
        <v>2</v>
      </c>
      <c r="E54" s="44" t="s">
        <v>6</v>
      </c>
      <c r="F54" s="44">
        <v>3170</v>
      </c>
      <c r="G54" s="42">
        <f>G38</f>
        <v>33357.507779833337</v>
      </c>
      <c r="L54" s="28">
        <v>3.9037037037037037E-2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37"/>
  <sheetViews>
    <sheetView workbookViewId="0">
      <pane xSplit="1" ySplit="1" topLeftCell="B36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RowHeight="14.75" x14ac:dyDescent="0.75"/>
  <cols>
    <col min="1" max="1" width="36.7265625" bestFit="1" customWidth="1"/>
    <col min="2" max="2" width="13.26953125" customWidth="1"/>
    <col min="3" max="3" width="12.7265625" customWidth="1"/>
    <col min="4" max="4" width="8.54296875" style="2" bestFit="1" customWidth="1"/>
    <col min="5" max="5" width="12.54296875" style="2" bestFit="1" customWidth="1"/>
    <col min="7" max="7" width="12" bestFit="1" customWidth="1"/>
    <col min="8" max="8" width="10" bestFit="1" customWidth="1"/>
    <col min="9" max="9" width="10" style="2" bestFit="1" customWidth="1"/>
    <col min="11" max="11" width="10.26953125" bestFit="1" customWidth="1"/>
    <col min="14" max="14" width="10.40625" bestFit="1" customWidth="1"/>
    <col min="15" max="15" width="12.54296875" bestFit="1" customWidth="1"/>
    <col min="16" max="16" width="18" bestFit="1" customWidth="1"/>
  </cols>
  <sheetData>
    <row r="1" spans="1:9" s="6" customFormat="1" ht="29.5" x14ac:dyDescent="0.75">
      <c r="A1" s="6" t="s">
        <v>0</v>
      </c>
      <c r="B1" s="6" t="s">
        <v>24</v>
      </c>
      <c r="C1" s="6" t="s">
        <v>23</v>
      </c>
      <c r="D1" s="35" t="s">
        <v>19</v>
      </c>
      <c r="E1" s="35" t="s">
        <v>20</v>
      </c>
      <c r="F1" s="6" t="s">
        <v>21</v>
      </c>
      <c r="G1" s="6" t="s">
        <v>22</v>
      </c>
      <c r="H1" s="6" t="s">
        <v>88</v>
      </c>
      <c r="I1" s="35" t="s">
        <v>90</v>
      </c>
    </row>
    <row r="2" spans="1:9" x14ac:dyDescent="0.75">
      <c r="A2" t="s">
        <v>1</v>
      </c>
      <c r="B2" t="s">
        <v>2</v>
      </c>
      <c r="C2" t="s">
        <v>3</v>
      </c>
      <c r="D2" s="2">
        <v>138</v>
      </c>
      <c r="E2" s="2">
        <v>67.606314585569507</v>
      </c>
      <c r="F2" s="34">
        <v>1.3658145631230099E-3</v>
      </c>
      <c r="G2" s="34">
        <v>2.8644554988447699</v>
      </c>
    </row>
    <row r="3" spans="1:9" x14ac:dyDescent="0.75">
      <c r="A3" t="s">
        <v>1</v>
      </c>
      <c r="B3" t="s">
        <v>2</v>
      </c>
      <c r="C3" t="s">
        <v>3</v>
      </c>
      <c r="D3" s="2">
        <v>139</v>
      </c>
      <c r="E3" s="2">
        <v>76.182338291965095</v>
      </c>
      <c r="F3" s="34">
        <v>1.31899249009086E-3</v>
      </c>
      <c r="G3" s="34">
        <v>2.8610872812683898</v>
      </c>
    </row>
    <row r="4" spans="1:9" x14ac:dyDescent="0.75">
      <c r="A4" t="s">
        <v>1</v>
      </c>
      <c r="B4" t="s">
        <v>2</v>
      </c>
      <c r="C4" t="s">
        <v>3</v>
      </c>
      <c r="D4" s="2">
        <v>151</v>
      </c>
      <c r="E4" s="2">
        <v>75.442722816312894</v>
      </c>
      <c r="F4" s="34">
        <v>1.25909251825183E-3</v>
      </c>
      <c r="G4" s="34">
        <v>2.8555041734664899</v>
      </c>
    </row>
    <row r="5" spans="1:9" x14ac:dyDescent="0.75">
      <c r="D5" s="3">
        <f>AVERAGE(D2:D4)</f>
        <v>142.66666666666666</v>
      </c>
      <c r="E5" s="3">
        <f>AVERAGE(E2:E4)</f>
        <v>73.077125231282494</v>
      </c>
      <c r="F5" s="34"/>
      <c r="G5" s="34"/>
      <c r="H5" s="37">
        <f>_xlfn.STDEV.P(D2:D4)/D5</f>
        <v>4.140197464175082E-2</v>
      </c>
      <c r="I5" s="2">
        <f>_xlfn.STDEV.P(E2:E4)</f>
        <v>3.8802134480713826</v>
      </c>
    </row>
    <row r="6" spans="1:9" x14ac:dyDescent="0.75">
      <c r="A6" t="s">
        <v>1</v>
      </c>
      <c r="B6" t="s">
        <v>4</v>
      </c>
      <c r="C6" t="s">
        <v>3</v>
      </c>
      <c r="D6" s="2">
        <v>168</v>
      </c>
      <c r="E6" s="2">
        <v>60.982750496994001</v>
      </c>
      <c r="F6" s="34">
        <v>1.4997812123175799E-3</v>
      </c>
      <c r="G6" s="34">
        <v>2.8738929011101799</v>
      </c>
    </row>
    <row r="7" spans="1:9" x14ac:dyDescent="0.75">
      <c r="A7" t="s">
        <v>1</v>
      </c>
      <c r="B7" t="s">
        <v>4</v>
      </c>
      <c r="C7" t="s">
        <v>3</v>
      </c>
      <c r="D7" s="2">
        <v>150</v>
      </c>
      <c r="E7" s="2">
        <v>67.087755060906403</v>
      </c>
      <c r="F7" s="34">
        <v>1.40257606470551E-3</v>
      </c>
      <c r="G7" s="34">
        <v>2.8648682770406602</v>
      </c>
    </row>
    <row r="8" spans="1:9" x14ac:dyDescent="0.75">
      <c r="A8" t="s">
        <v>1</v>
      </c>
      <c r="B8" t="s">
        <v>4</v>
      </c>
      <c r="C8" t="s">
        <v>3</v>
      </c>
      <c r="D8" s="2">
        <v>141</v>
      </c>
      <c r="E8" s="2">
        <v>72.438710834498906</v>
      </c>
      <c r="F8" s="34">
        <v>1.2924168194523801E-3</v>
      </c>
      <c r="G8" s="34">
        <v>2.85898644939493</v>
      </c>
    </row>
    <row r="9" spans="1:9" x14ac:dyDescent="0.75">
      <c r="D9" s="3">
        <f>AVERAGE(D6:D8)</f>
        <v>153</v>
      </c>
      <c r="E9" s="3">
        <f>AVERAGE(E6:E8)</f>
        <v>66.836405464133108</v>
      </c>
      <c r="F9" s="34"/>
      <c r="G9" s="34"/>
      <c r="H9" s="37">
        <f>_xlfn.STDEV.P(D6:D8)/D9</f>
        <v>7.3365831113214541E-2</v>
      </c>
      <c r="I9" s="2">
        <f>_xlfn.STDEV.P(E6:E8)</f>
        <v>4.680252078572261</v>
      </c>
    </row>
    <row r="10" spans="1:9" x14ac:dyDescent="0.75">
      <c r="A10" t="s">
        <v>1</v>
      </c>
      <c r="B10" t="s">
        <v>4</v>
      </c>
      <c r="C10" t="s">
        <v>6</v>
      </c>
      <c r="D10" s="2">
        <v>147</v>
      </c>
      <c r="E10" s="2">
        <v>191.61750526326</v>
      </c>
      <c r="F10" s="34">
        <v>1.09781439386346E-2</v>
      </c>
      <c r="G10" s="34">
        <v>3.1155566603649598</v>
      </c>
    </row>
    <row r="11" spans="1:9" x14ac:dyDescent="0.75">
      <c r="A11" t="s">
        <v>1</v>
      </c>
      <c r="B11" t="s">
        <v>4</v>
      </c>
      <c r="C11" t="s">
        <v>6</v>
      </c>
      <c r="D11" s="2">
        <v>157</v>
      </c>
      <c r="E11" s="2">
        <v>209.709339549053</v>
      </c>
      <c r="F11" s="34">
        <v>6.2352139219696099E-3</v>
      </c>
      <c r="G11" s="34">
        <v>3.0336207433887701</v>
      </c>
    </row>
    <row r="12" spans="1:9" x14ac:dyDescent="0.75">
      <c r="A12" t="s">
        <v>1</v>
      </c>
      <c r="B12" t="s">
        <v>4</v>
      </c>
      <c r="C12" t="s">
        <v>6</v>
      </c>
      <c r="D12" s="2">
        <v>131</v>
      </c>
      <c r="E12" s="2">
        <v>222.50270669990999</v>
      </c>
      <c r="F12" s="34">
        <v>6.23715903586283E-3</v>
      </c>
      <c r="G12" s="34">
        <v>3.0250571565778901</v>
      </c>
    </row>
    <row r="13" spans="1:9" x14ac:dyDescent="0.75">
      <c r="D13" s="3">
        <f>AVERAGE(D10:D12)</f>
        <v>145</v>
      </c>
      <c r="E13" s="3">
        <f>AVERAGE(E10:E12)</f>
        <v>207.94318383740764</v>
      </c>
      <c r="F13" s="34"/>
      <c r="G13" s="34"/>
      <c r="H13" s="37">
        <f>_xlfn.STDEV.P(D10:D12)/D13</f>
        <v>7.3850015651535678E-2</v>
      </c>
      <c r="I13" s="2">
        <f>_xlfn.STDEV.P(E10:E12)</f>
        <v>12.670527388233024</v>
      </c>
    </row>
    <row r="14" spans="1:9" x14ac:dyDescent="0.75">
      <c r="A14" t="s">
        <v>1</v>
      </c>
      <c r="B14" t="s">
        <v>2</v>
      </c>
      <c r="C14" t="s">
        <v>6</v>
      </c>
      <c r="D14" s="2">
        <v>140</v>
      </c>
      <c r="E14" s="2">
        <v>906.79864116246699</v>
      </c>
      <c r="F14" s="34">
        <v>1.05160733751078E-2</v>
      </c>
      <c r="G14" s="34">
        <v>3.1152592075888501</v>
      </c>
    </row>
    <row r="15" spans="1:9" x14ac:dyDescent="0.75">
      <c r="A15" t="s">
        <v>1</v>
      </c>
      <c r="B15" t="s">
        <v>2</v>
      </c>
      <c r="C15" t="s">
        <v>6</v>
      </c>
      <c r="D15" s="2">
        <v>143</v>
      </c>
      <c r="E15" s="2">
        <v>945.58452772041198</v>
      </c>
      <c r="F15" s="34">
        <v>6.2891820051155997E-3</v>
      </c>
      <c r="G15" s="34">
        <v>3.02667211826956</v>
      </c>
    </row>
    <row r="16" spans="1:9" x14ac:dyDescent="0.75">
      <c r="A16" t="s">
        <v>1</v>
      </c>
      <c r="B16" t="s">
        <v>2</v>
      </c>
      <c r="C16" t="s">
        <v>6</v>
      </c>
      <c r="D16" s="2">
        <v>153</v>
      </c>
      <c r="E16" s="2">
        <v>920.71179131978897</v>
      </c>
      <c r="F16" s="34">
        <v>6.3377926421404702E-3</v>
      </c>
      <c r="G16" s="34">
        <v>3.0295114865036101</v>
      </c>
    </row>
    <row r="17" spans="1:13" x14ac:dyDescent="0.75">
      <c r="D17" s="3">
        <f>AVERAGE(D14:D16)</f>
        <v>145.33333333333334</v>
      </c>
      <c r="E17" s="3">
        <f>AVERAGE(E14:E16)</f>
        <v>924.36498673422273</v>
      </c>
      <c r="F17" s="34"/>
      <c r="G17" s="34"/>
      <c r="H17" s="37">
        <f>_xlfn.STDEV.P(D14:D16)/D17</f>
        <v>3.8241587157185931E-2</v>
      </c>
      <c r="I17" s="2">
        <f>_xlfn.STDEV.P(E14:E16)</f>
        <v>16.043599483355223</v>
      </c>
    </row>
    <row r="18" spans="1:13" x14ac:dyDescent="0.75">
      <c r="A18" t="s">
        <v>5</v>
      </c>
      <c r="B18" t="s">
        <v>2</v>
      </c>
      <c r="C18" t="s">
        <v>3</v>
      </c>
      <c r="F18" s="34">
        <v>2.2161093325441901E-3</v>
      </c>
      <c r="G18" s="34">
        <v>2.9039694075228599</v>
      </c>
      <c r="J18" t="s">
        <v>89</v>
      </c>
      <c r="L18" s="2">
        <v>448</v>
      </c>
      <c r="M18" s="2">
        <v>25538.1820119933</v>
      </c>
    </row>
    <row r="19" spans="1:13" x14ac:dyDescent="0.75">
      <c r="A19" t="s">
        <v>5</v>
      </c>
      <c r="B19" t="s">
        <v>2</v>
      </c>
      <c r="C19" t="s">
        <v>3</v>
      </c>
      <c r="F19" s="34">
        <v>1.1460073504844599E-3</v>
      </c>
      <c r="G19" s="34">
        <v>2.8433010834193202</v>
      </c>
      <c r="J19" t="s">
        <v>89</v>
      </c>
      <c r="L19" s="2">
        <v>120</v>
      </c>
      <c r="M19" s="2">
        <v>19954.045259379</v>
      </c>
    </row>
    <row r="20" spans="1:13" x14ac:dyDescent="0.75">
      <c r="A20" t="s">
        <v>5</v>
      </c>
      <c r="B20" t="s">
        <v>2</v>
      </c>
      <c r="C20" t="s">
        <v>3</v>
      </c>
      <c r="D20" s="2">
        <v>568</v>
      </c>
      <c r="E20" s="2">
        <v>23495.599746340202</v>
      </c>
      <c r="F20" s="34">
        <v>1.4668994441434399E-3</v>
      </c>
      <c r="G20" s="34">
        <v>2.8617432207090499</v>
      </c>
      <c r="J20" t="s">
        <v>89</v>
      </c>
    </row>
    <row r="21" spans="1:13" x14ac:dyDescent="0.75">
      <c r="A21" t="s">
        <v>5</v>
      </c>
      <c r="B21" t="s">
        <v>2</v>
      </c>
      <c r="C21" t="s">
        <v>3</v>
      </c>
      <c r="D21" s="2">
        <v>506</v>
      </c>
      <c r="E21" s="2">
        <v>24603.761015433502</v>
      </c>
      <c r="F21" s="34">
        <v>1.41218713485484E-3</v>
      </c>
      <c r="G21" s="34">
        <v>2.8585370849501599</v>
      </c>
      <c r="J21" t="s">
        <v>89</v>
      </c>
    </row>
    <row r="22" spans="1:13" x14ac:dyDescent="0.75">
      <c r="A22" t="s">
        <v>5</v>
      </c>
      <c r="B22" t="s">
        <v>2</v>
      </c>
      <c r="C22" t="s">
        <v>3</v>
      </c>
      <c r="D22" s="2">
        <v>673</v>
      </c>
      <c r="E22" s="2">
        <v>26049.481119099601</v>
      </c>
      <c r="F22" s="34">
        <v>1.5371192718211201E-3</v>
      </c>
      <c r="G22" s="34">
        <v>2.86638552003178</v>
      </c>
      <c r="J22" t="s">
        <v>89</v>
      </c>
    </row>
    <row r="23" spans="1:13" x14ac:dyDescent="0.75">
      <c r="A23" t="s">
        <v>5</v>
      </c>
      <c r="B23" t="s">
        <v>2</v>
      </c>
      <c r="C23" t="s">
        <v>3</v>
      </c>
      <c r="F23" s="34">
        <v>1.6569758684059899E-3</v>
      </c>
      <c r="G23" s="34">
        <v>2.8730751171431201</v>
      </c>
      <c r="J23" t="s">
        <v>89</v>
      </c>
      <c r="L23" s="2">
        <v>713</v>
      </c>
      <c r="M23" s="2">
        <v>25360.784753833701</v>
      </c>
    </row>
    <row r="24" spans="1:13" x14ac:dyDescent="0.75">
      <c r="A24" t="s">
        <v>5</v>
      </c>
      <c r="B24" t="s">
        <v>2</v>
      </c>
      <c r="C24" t="s">
        <v>3</v>
      </c>
      <c r="F24" s="34">
        <v>1.3802366549558701E-3</v>
      </c>
      <c r="G24" s="34">
        <v>2.8559498567099002</v>
      </c>
      <c r="J24" t="s">
        <v>89</v>
      </c>
      <c r="L24" s="2">
        <v>400</v>
      </c>
      <c r="M24" s="2">
        <v>23309.615255160599</v>
      </c>
    </row>
    <row r="25" spans="1:13" x14ac:dyDescent="0.75">
      <c r="A25" t="s">
        <v>5</v>
      </c>
      <c r="B25" t="s">
        <v>2</v>
      </c>
      <c r="C25" t="s">
        <v>3</v>
      </c>
      <c r="D25" s="2">
        <v>620</v>
      </c>
      <c r="E25" s="2">
        <v>24390.096352859</v>
      </c>
      <c r="F25" s="34">
        <v>1.46232138752922E-3</v>
      </c>
      <c r="G25" s="34">
        <v>2.8625709321016202</v>
      </c>
      <c r="J25" t="s">
        <v>89</v>
      </c>
    </row>
    <row r="26" spans="1:13" x14ac:dyDescent="0.75">
      <c r="A26" t="s">
        <v>5</v>
      </c>
      <c r="B26" t="s">
        <v>2</v>
      </c>
      <c r="C26" t="s">
        <v>3</v>
      </c>
      <c r="F26" s="34">
        <v>1.3403347160061399E-3</v>
      </c>
      <c r="G26" s="34">
        <v>2.8545494628505699</v>
      </c>
      <c r="J26" t="s">
        <v>89</v>
      </c>
      <c r="L26" s="2">
        <v>136</v>
      </c>
      <c r="M26" s="2">
        <v>24423.603261607299</v>
      </c>
    </row>
    <row r="27" spans="1:13" x14ac:dyDescent="0.75">
      <c r="D27" s="3">
        <f>AVERAGE(D18:D26)</f>
        <v>591.75</v>
      </c>
      <c r="E27" s="3">
        <f>AVERAGE(E18:E26)</f>
        <v>24634.734558433076</v>
      </c>
      <c r="F27" s="34"/>
      <c r="G27" s="34"/>
      <c r="H27" s="37">
        <f>_xlfn.STDEV.P(D18:D26)/D27</f>
        <v>0.1045719122175757</v>
      </c>
      <c r="I27" s="2">
        <f>_xlfn.STDEV.P(E18:E26)</f>
        <v>916.50738718136893</v>
      </c>
    </row>
    <row r="28" spans="1:13" x14ac:dyDescent="0.75">
      <c r="A28" t="s">
        <v>5</v>
      </c>
      <c r="B28" t="s">
        <v>4</v>
      </c>
      <c r="C28" t="s">
        <v>3</v>
      </c>
      <c r="D28" s="2">
        <v>133</v>
      </c>
      <c r="E28" s="2">
        <v>93.454054390169603</v>
      </c>
      <c r="F28" s="34">
        <v>1.20122124159562E-3</v>
      </c>
      <c r="G28" s="34">
        <v>2.8505949989311099</v>
      </c>
      <c r="J28" t="s">
        <v>89</v>
      </c>
    </row>
    <row r="29" spans="1:13" x14ac:dyDescent="0.75">
      <c r="A29" t="s">
        <v>5</v>
      </c>
      <c r="B29" t="s">
        <v>4</v>
      </c>
      <c r="C29" t="s">
        <v>3</v>
      </c>
      <c r="D29" s="2">
        <v>155</v>
      </c>
      <c r="E29" s="2">
        <v>89.466439715330495</v>
      </c>
      <c r="F29" s="34">
        <v>1.37183368435809E-3</v>
      </c>
      <c r="G29" s="34">
        <v>2.8577020719774202</v>
      </c>
      <c r="J29" t="s">
        <v>89</v>
      </c>
    </row>
    <row r="30" spans="1:13" x14ac:dyDescent="0.75">
      <c r="A30" t="s">
        <v>5</v>
      </c>
      <c r="B30" t="s">
        <v>4</v>
      </c>
      <c r="C30" t="s">
        <v>3</v>
      </c>
      <c r="D30" s="2">
        <v>163</v>
      </c>
      <c r="E30" s="2">
        <v>93.949719361175795</v>
      </c>
      <c r="F30" s="34">
        <v>1.3384602033391401E-3</v>
      </c>
      <c r="G30" s="34">
        <v>2.85254089202803</v>
      </c>
      <c r="J30" t="s">
        <v>89</v>
      </c>
    </row>
    <row r="31" spans="1:13" x14ac:dyDescent="0.75">
      <c r="D31" s="3">
        <f>AVERAGE(D28:D30)</f>
        <v>150.33333333333334</v>
      </c>
      <c r="E31" s="3">
        <f>AVERAGE(E28:E30)</f>
        <v>92.290071155558621</v>
      </c>
      <c r="F31" s="34"/>
      <c r="G31" s="34"/>
      <c r="H31" s="37">
        <f>_xlfn.STDEV.P(D28:D30)/D31</f>
        <v>8.4373825234769176E-2</v>
      </c>
      <c r="I31" s="2">
        <f>_xlfn.STDEV.P(E28:E30)</f>
        <v>2.0068369512833302</v>
      </c>
    </row>
    <row r="32" spans="1:13" x14ac:dyDescent="0.75">
      <c r="A32" t="s">
        <v>7</v>
      </c>
      <c r="B32" t="s">
        <v>2</v>
      </c>
      <c r="C32" t="s">
        <v>6</v>
      </c>
      <c r="D32" s="2">
        <v>603</v>
      </c>
      <c r="E32" s="2">
        <v>2596.6571705992301</v>
      </c>
      <c r="F32" s="34">
        <v>1.2203830364727299E-2</v>
      </c>
      <c r="G32" s="34">
        <v>3.1954440688373502</v>
      </c>
    </row>
    <row r="33" spans="1:14" x14ac:dyDescent="0.75">
      <c r="A33" t="s">
        <v>7</v>
      </c>
      <c r="B33" t="s">
        <v>2</v>
      </c>
      <c r="C33" t="s">
        <v>6</v>
      </c>
      <c r="D33" s="2">
        <v>659</v>
      </c>
      <c r="E33" s="2">
        <v>2667.3781138898298</v>
      </c>
      <c r="F33" s="34">
        <v>1.3537422805507199E-2</v>
      </c>
      <c r="G33" s="34">
        <v>3.22925115768638</v>
      </c>
    </row>
    <row r="34" spans="1:14" x14ac:dyDescent="0.75">
      <c r="A34" t="s">
        <v>7</v>
      </c>
      <c r="B34" t="s">
        <v>2</v>
      </c>
      <c r="C34" t="s">
        <v>6</v>
      </c>
      <c r="D34" s="2">
        <v>704</v>
      </c>
      <c r="E34" s="2">
        <v>2699.81826674274</v>
      </c>
      <c r="F34" s="34">
        <v>1.38833742266747E-2</v>
      </c>
      <c r="G34" s="34">
        <v>3.2327202118817402</v>
      </c>
    </row>
    <row r="35" spans="1:14" x14ac:dyDescent="0.75">
      <c r="D35" s="3">
        <f>AVERAGE(D32:D34)</f>
        <v>655.33333333333337</v>
      </c>
      <c r="E35" s="3">
        <f>AVERAGE(E32:E34)</f>
        <v>2654.6178504106001</v>
      </c>
      <c r="F35" s="34"/>
      <c r="G35" s="34"/>
      <c r="H35" s="37">
        <f>_xlfn.STDEV.P(D32:D34)/D35</f>
        <v>6.3043507391304945E-2</v>
      </c>
      <c r="I35" s="2">
        <f>_xlfn.STDEV.P(E32:E34)</f>
        <v>43.071035762076804</v>
      </c>
    </row>
    <row r="36" spans="1:14" x14ac:dyDescent="0.75">
      <c r="A36" t="s">
        <v>7</v>
      </c>
      <c r="B36" t="s">
        <v>2</v>
      </c>
      <c r="C36" t="s">
        <v>3</v>
      </c>
      <c r="D36" s="2">
        <v>651</v>
      </c>
      <c r="E36" s="2">
        <v>166.279094707078</v>
      </c>
      <c r="F36" s="34">
        <v>5.6186957896790998E-3</v>
      </c>
      <c r="G36" s="34">
        <v>3.0686224508556501</v>
      </c>
    </row>
    <row r="37" spans="1:14" x14ac:dyDescent="0.75">
      <c r="A37" t="s">
        <v>7</v>
      </c>
      <c r="B37" t="s">
        <v>2</v>
      </c>
      <c r="C37" t="s">
        <v>3</v>
      </c>
      <c r="D37" s="2">
        <v>611</v>
      </c>
      <c r="E37" s="2">
        <v>191.59295137503301</v>
      </c>
      <c r="F37" s="34">
        <v>5.28183821426769E-3</v>
      </c>
      <c r="G37" s="34">
        <v>3.0557874248978898</v>
      </c>
    </row>
    <row r="38" spans="1:14" x14ac:dyDescent="0.75">
      <c r="A38" t="s">
        <v>7</v>
      </c>
      <c r="B38" t="s">
        <v>2</v>
      </c>
      <c r="C38" t="s">
        <v>3</v>
      </c>
      <c r="D38" s="2">
        <v>593</v>
      </c>
      <c r="E38" s="2">
        <v>201.818833668743</v>
      </c>
      <c r="F38" s="34">
        <v>4.9227458430706602E-3</v>
      </c>
      <c r="G38" s="34">
        <v>3.0445435184198302</v>
      </c>
    </row>
    <row r="39" spans="1:14" x14ac:dyDescent="0.75">
      <c r="D39" s="3">
        <f>AVERAGE(D36:D38)</f>
        <v>618.33333333333337</v>
      </c>
      <c r="E39" s="3">
        <f>AVERAGE(E36:E38)</f>
        <v>186.563626583618</v>
      </c>
      <c r="F39" s="34"/>
      <c r="G39" s="34"/>
      <c r="H39" s="37">
        <f>_xlfn.STDEV.P(D36:D38)/D39</f>
        <v>3.920142094382284E-2</v>
      </c>
      <c r="I39" s="2">
        <f>_xlfn.STDEV.P(E36:E38)</f>
        <v>14.93851492527461</v>
      </c>
    </row>
    <row r="40" spans="1:14" x14ac:dyDescent="0.75">
      <c r="A40" t="s">
        <v>7</v>
      </c>
      <c r="B40" t="s">
        <v>4</v>
      </c>
      <c r="C40" t="s">
        <v>6</v>
      </c>
      <c r="D40" s="2">
        <v>655</v>
      </c>
      <c r="E40" s="2">
        <v>2420.6616643387601</v>
      </c>
      <c r="F40" s="34">
        <v>1.23114470695909E-2</v>
      </c>
      <c r="G40" s="34">
        <v>3.20784852451159</v>
      </c>
    </row>
    <row r="41" spans="1:14" x14ac:dyDescent="0.75">
      <c r="A41" t="s">
        <v>7</v>
      </c>
      <c r="B41" t="s">
        <v>4</v>
      </c>
      <c r="C41" t="s">
        <v>6</v>
      </c>
      <c r="D41" s="2">
        <v>637</v>
      </c>
      <c r="E41" s="2">
        <v>2491.2764674281898</v>
      </c>
      <c r="F41" s="34">
        <v>1.25560295029425E-2</v>
      </c>
      <c r="G41" s="34">
        <v>3.2069778846974799</v>
      </c>
    </row>
    <row r="42" spans="1:14" x14ac:dyDescent="0.75">
      <c r="A42" t="s">
        <v>7</v>
      </c>
      <c r="B42" t="s">
        <v>4</v>
      </c>
      <c r="C42" t="s">
        <v>6</v>
      </c>
      <c r="D42" s="2">
        <v>643</v>
      </c>
      <c r="E42" s="2">
        <v>2524.3055771467202</v>
      </c>
      <c r="F42" s="34">
        <v>1.1950855156854999E-2</v>
      </c>
      <c r="G42" s="34">
        <v>3.1889449913062502</v>
      </c>
    </row>
    <row r="43" spans="1:14" x14ac:dyDescent="0.75">
      <c r="D43" s="3">
        <f>AVERAGE(D40:D42)</f>
        <v>645</v>
      </c>
      <c r="E43" s="3">
        <f>AVERAGE(E40:E42)</f>
        <v>2478.7479029712235</v>
      </c>
      <c r="F43" s="34"/>
      <c r="G43" s="34"/>
      <c r="H43" s="37">
        <f>_xlfn.STDEV.P(D40:D42)/D43</f>
        <v>1.1602038408601368E-2</v>
      </c>
      <c r="I43" s="2">
        <f>_xlfn.STDEV.P(E40:E42)</f>
        <v>43.229919122834971</v>
      </c>
    </row>
    <row r="44" spans="1:14" x14ac:dyDescent="0.75">
      <c r="A44" t="s">
        <v>7</v>
      </c>
      <c r="B44" t="s">
        <v>4</v>
      </c>
      <c r="C44" t="s">
        <v>3</v>
      </c>
      <c r="D44" s="2">
        <v>581</v>
      </c>
      <c r="E44" s="2">
        <v>181.929998753277</v>
      </c>
      <c r="F44" s="34">
        <v>4.9773162176432401E-3</v>
      </c>
      <c r="G44" s="34">
        <v>3.0462041745828898</v>
      </c>
    </row>
    <row r="45" spans="1:14" x14ac:dyDescent="0.75">
      <c r="A45" t="s">
        <v>7</v>
      </c>
      <c r="B45" t="s">
        <v>4</v>
      </c>
      <c r="C45" t="s">
        <v>3</v>
      </c>
      <c r="D45" s="2">
        <v>547</v>
      </c>
      <c r="E45" s="2">
        <v>191.89354403655901</v>
      </c>
      <c r="F45" s="34">
        <v>4.8228971664218802E-3</v>
      </c>
      <c r="G45" s="34">
        <v>3.0367203345570699</v>
      </c>
    </row>
    <row r="46" spans="1:14" x14ac:dyDescent="0.75">
      <c r="A46" t="s">
        <v>7</v>
      </c>
      <c r="B46" t="s">
        <v>4</v>
      </c>
      <c r="C46" t="s">
        <v>3</v>
      </c>
      <c r="D46" s="2">
        <v>574</v>
      </c>
      <c r="E46" s="2">
        <v>191.58272251329899</v>
      </c>
      <c r="F46" s="34">
        <v>4.6995071904476996E-3</v>
      </c>
      <c r="G46" s="34">
        <v>3.03413143251769</v>
      </c>
    </row>
    <row r="47" spans="1:14" x14ac:dyDescent="0.75">
      <c r="D47" s="3">
        <f>AVERAGE(D44:D46)</f>
        <v>567.33333333333337</v>
      </c>
      <c r="E47" s="3">
        <f>AVERAGE(E44:E46)</f>
        <v>188.46875510104499</v>
      </c>
      <c r="F47" s="34"/>
      <c r="G47" s="34"/>
      <c r="H47" s="37">
        <f>_xlfn.STDEV.P(D44:D46)/D47</f>
        <v>2.5838582170735629E-2</v>
      </c>
      <c r="I47" s="2">
        <f>_xlfn.STDEV.P(E44:E46)</f>
        <v>4.6253398748227221</v>
      </c>
    </row>
    <row r="48" spans="1:14" x14ac:dyDescent="0.75">
      <c r="A48" t="s">
        <v>8</v>
      </c>
      <c r="B48" t="s">
        <v>9</v>
      </c>
      <c r="C48" t="s">
        <v>10</v>
      </c>
      <c r="F48" s="34">
        <v>1.79611713772538E-3</v>
      </c>
      <c r="G48" s="34">
        <v>2.87427278772837</v>
      </c>
      <c r="J48" t="s">
        <v>89</v>
      </c>
      <c r="M48" s="2">
        <v>484</v>
      </c>
      <c r="N48" s="2">
        <v>58393.205497335599</v>
      </c>
    </row>
    <row r="49" spans="1:14" x14ac:dyDescent="0.75">
      <c r="A49" t="s">
        <v>8</v>
      </c>
      <c r="B49" t="s">
        <v>9</v>
      </c>
      <c r="C49" t="s">
        <v>10</v>
      </c>
      <c r="F49" s="34">
        <v>1.1640313317599401E-3</v>
      </c>
      <c r="G49" s="34">
        <v>2.8413652619783001</v>
      </c>
      <c r="J49" t="s">
        <v>89</v>
      </c>
      <c r="M49" s="2">
        <v>151</v>
      </c>
      <c r="N49" s="2">
        <v>59192.125979607699</v>
      </c>
    </row>
    <row r="50" spans="1:14" x14ac:dyDescent="0.75">
      <c r="A50" t="s">
        <v>8</v>
      </c>
      <c r="B50" t="s">
        <v>9</v>
      </c>
      <c r="C50" t="s">
        <v>10</v>
      </c>
      <c r="D50" s="2">
        <v>364</v>
      </c>
      <c r="E50" s="2">
        <v>59269.240863828898</v>
      </c>
      <c r="F50" s="34">
        <v>1.3789730659301499E-3</v>
      </c>
      <c r="G50" s="34">
        <v>2.85443621281705</v>
      </c>
      <c r="J50" t="s">
        <v>89</v>
      </c>
    </row>
    <row r="51" spans="1:14" x14ac:dyDescent="0.75">
      <c r="A51" t="s">
        <v>8</v>
      </c>
      <c r="B51" t="s">
        <v>9</v>
      </c>
      <c r="C51" t="s">
        <v>10</v>
      </c>
      <c r="F51" s="34">
        <v>1.64093593529336E-3</v>
      </c>
      <c r="G51" s="34">
        <v>2.8689708507498199</v>
      </c>
      <c r="J51" t="s">
        <v>89</v>
      </c>
      <c r="M51" s="2">
        <v>510</v>
      </c>
      <c r="N51" s="2">
        <v>59751.210856539503</v>
      </c>
    </row>
    <row r="52" spans="1:14" x14ac:dyDescent="0.75">
      <c r="A52" t="s">
        <v>8</v>
      </c>
      <c r="B52" t="s">
        <v>9</v>
      </c>
      <c r="C52" t="s">
        <v>10</v>
      </c>
      <c r="F52" s="34">
        <v>1.0797569095936301E-3</v>
      </c>
      <c r="G52" s="34">
        <v>2.8363094452342299</v>
      </c>
      <c r="J52" t="s">
        <v>89</v>
      </c>
      <c r="M52" s="2">
        <v>120</v>
      </c>
      <c r="N52" s="2">
        <v>51926.363084609096</v>
      </c>
    </row>
    <row r="53" spans="1:14" x14ac:dyDescent="0.75">
      <c r="A53" t="s">
        <v>8</v>
      </c>
      <c r="B53" t="s">
        <v>9</v>
      </c>
      <c r="C53" t="s">
        <v>10</v>
      </c>
      <c r="D53" s="2">
        <v>301</v>
      </c>
      <c r="E53" s="2">
        <v>57353.6686248439</v>
      </c>
      <c r="F53" s="34">
        <v>1.21915546686542E-3</v>
      </c>
      <c r="G53" s="34">
        <v>2.8453718906068501</v>
      </c>
      <c r="J53" t="s">
        <v>89</v>
      </c>
    </row>
    <row r="54" spans="1:14" x14ac:dyDescent="0.75">
      <c r="A54" t="s">
        <v>8</v>
      </c>
      <c r="B54" t="s">
        <v>9</v>
      </c>
      <c r="C54" t="s">
        <v>10</v>
      </c>
      <c r="F54" s="34">
        <v>1.0034023643480999E-3</v>
      </c>
      <c r="G54" s="34">
        <v>2.8308343053296801</v>
      </c>
      <c r="J54" t="s">
        <v>89</v>
      </c>
      <c r="M54" s="2">
        <v>64</v>
      </c>
      <c r="N54" s="2">
        <v>49498.710413299501</v>
      </c>
    </row>
    <row r="55" spans="1:14" x14ac:dyDescent="0.75">
      <c r="A55" t="s">
        <v>8</v>
      </c>
      <c r="B55" t="s">
        <v>9</v>
      </c>
      <c r="C55" t="s">
        <v>10</v>
      </c>
      <c r="F55" s="34">
        <v>1.0968467657031199E-3</v>
      </c>
      <c r="G55" s="34">
        <v>2.8379624078430301</v>
      </c>
      <c r="J55" t="s">
        <v>89</v>
      </c>
      <c r="M55" s="2">
        <v>132</v>
      </c>
      <c r="N55" s="2">
        <v>50360.157328426198</v>
      </c>
    </row>
    <row r="56" spans="1:14" x14ac:dyDescent="0.75">
      <c r="A56" t="s">
        <v>8</v>
      </c>
      <c r="B56" t="s">
        <v>9</v>
      </c>
      <c r="C56" t="s">
        <v>10</v>
      </c>
      <c r="F56" s="34">
        <v>1.0142799412637901E-3</v>
      </c>
      <c r="G56" s="34">
        <v>2.8315741575500599</v>
      </c>
      <c r="J56" t="s">
        <v>89</v>
      </c>
      <c r="M56" s="2">
        <v>48</v>
      </c>
      <c r="N56" s="2">
        <v>35670.160940592199</v>
      </c>
    </row>
    <row r="57" spans="1:14" x14ac:dyDescent="0.75">
      <c r="D57" s="3">
        <f>AVERAGE(D48:D56)</f>
        <v>332.5</v>
      </c>
      <c r="E57" s="3">
        <f>AVERAGE(E48:E56)</f>
        <v>58311.454744336399</v>
      </c>
      <c r="F57" s="34"/>
      <c r="G57" s="34"/>
      <c r="H57" s="37">
        <f>_xlfn.STDEV.P(D48:D56)/D57</f>
        <v>9.4736842105263161E-2</v>
      </c>
      <c r="I57" s="2">
        <f>_xlfn.STDEV.P(E48:E56)</f>
        <v>957.78611949249898</v>
      </c>
    </row>
    <row r="58" spans="1:14" x14ac:dyDescent="0.75">
      <c r="A58" t="s">
        <v>11</v>
      </c>
      <c r="B58" t="s">
        <v>2</v>
      </c>
      <c r="C58" t="s">
        <v>6</v>
      </c>
      <c r="D58" s="2">
        <v>333</v>
      </c>
      <c r="E58" s="2">
        <v>6203.4413365050996</v>
      </c>
      <c r="F58" s="34">
        <v>7.53908313176406E-3</v>
      </c>
      <c r="G58" s="34">
        <v>3.0741951775472498</v>
      </c>
    </row>
    <row r="59" spans="1:14" x14ac:dyDescent="0.75">
      <c r="A59" t="s">
        <v>11</v>
      </c>
      <c r="B59" t="s">
        <v>2</v>
      </c>
      <c r="C59" t="s">
        <v>6</v>
      </c>
      <c r="D59" s="2">
        <v>337</v>
      </c>
      <c r="E59" s="2">
        <v>5978.3554224297504</v>
      </c>
      <c r="F59" s="34">
        <v>8.3278095000959007E-3</v>
      </c>
      <c r="G59" s="34">
        <v>3.09633119125141</v>
      </c>
    </row>
    <row r="60" spans="1:14" x14ac:dyDescent="0.75">
      <c r="A60" t="s">
        <v>11</v>
      </c>
      <c r="B60" t="s">
        <v>2</v>
      </c>
      <c r="C60" t="s">
        <v>6</v>
      </c>
      <c r="D60" s="2">
        <v>340</v>
      </c>
      <c r="E60" s="2">
        <v>6517.3534157786098</v>
      </c>
      <c r="F60" s="34">
        <v>8.6479283668875195E-3</v>
      </c>
      <c r="G60" s="34">
        <v>3.1006668583114698</v>
      </c>
    </row>
    <row r="61" spans="1:14" x14ac:dyDescent="0.75">
      <c r="D61" s="3">
        <f>AVERAGE(D58:D60)</f>
        <v>336.66666666666669</v>
      </c>
      <c r="E61" s="3">
        <f>AVERAGE(E58:E60)</f>
        <v>6233.0500582378199</v>
      </c>
      <c r="F61" s="34"/>
      <c r="G61" s="34"/>
      <c r="H61" s="37">
        <f>_xlfn.STDEV.P(D58:D60)/D61</f>
        <v>8.5171537297451753E-3</v>
      </c>
      <c r="I61" s="2">
        <f>_xlfn.STDEV.P(E58:E60)</f>
        <v>221.03878469702778</v>
      </c>
    </row>
    <row r="62" spans="1:14" x14ac:dyDescent="0.75">
      <c r="A62" t="s">
        <v>11</v>
      </c>
      <c r="B62" t="s">
        <v>2</v>
      </c>
      <c r="C62" t="s">
        <v>3</v>
      </c>
      <c r="D62" s="2">
        <v>260</v>
      </c>
      <c r="E62" s="2">
        <v>478.56913557967698</v>
      </c>
      <c r="F62" s="34">
        <v>1.62376794514678E-3</v>
      </c>
      <c r="G62" s="34">
        <v>2.8751262441082801</v>
      </c>
    </row>
    <row r="63" spans="1:14" x14ac:dyDescent="0.75">
      <c r="A63" t="s">
        <v>11</v>
      </c>
      <c r="B63" t="s">
        <v>2</v>
      </c>
      <c r="C63" t="s">
        <v>3</v>
      </c>
      <c r="D63" s="2">
        <v>281</v>
      </c>
      <c r="E63" s="2">
        <v>493.25973017349901</v>
      </c>
      <c r="F63" s="34">
        <v>1.5169831792350801E-3</v>
      </c>
      <c r="G63" s="34">
        <v>2.8712239556240702</v>
      </c>
    </row>
    <row r="64" spans="1:14" x14ac:dyDescent="0.75">
      <c r="A64" t="s">
        <v>11</v>
      </c>
      <c r="B64" t="s">
        <v>2</v>
      </c>
      <c r="C64" t="s">
        <v>3</v>
      </c>
      <c r="D64" s="2">
        <v>276</v>
      </c>
      <c r="E64" s="2">
        <v>517.09208505197</v>
      </c>
      <c r="F64" s="34">
        <v>1.6880124323455301E-3</v>
      </c>
      <c r="G64" s="34">
        <v>2.8790598343614402</v>
      </c>
    </row>
    <row r="65" spans="1:11" x14ac:dyDescent="0.75">
      <c r="D65" s="3">
        <f>AVERAGE(D62:D64)</f>
        <v>272.33333333333331</v>
      </c>
      <c r="E65" s="3">
        <f>AVERAGE(E62:E64)</f>
        <v>496.30698360171527</v>
      </c>
      <c r="F65" s="34"/>
      <c r="G65" s="34"/>
      <c r="H65" s="37">
        <f>_xlfn.STDEV.P(D62:D64)/D65</f>
        <v>3.2888687497048721E-2</v>
      </c>
      <c r="I65" s="2">
        <f>_xlfn.STDEV.P(E62:E64)</f>
        <v>15.873851120696209</v>
      </c>
    </row>
    <row r="66" spans="1:11" x14ac:dyDescent="0.75">
      <c r="A66" t="s">
        <v>11</v>
      </c>
      <c r="B66" t="s">
        <v>4</v>
      </c>
      <c r="C66" t="s">
        <v>6</v>
      </c>
      <c r="D66" s="2">
        <v>313</v>
      </c>
      <c r="E66" s="2">
        <v>133.201599576067</v>
      </c>
      <c r="F66" s="34">
        <v>8.0794152297311798E-3</v>
      </c>
      <c r="G66" s="34">
        <v>3.0818407155408298</v>
      </c>
    </row>
    <row r="67" spans="1:11" x14ac:dyDescent="0.75">
      <c r="A67" t="s">
        <v>11</v>
      </c>
      <c r="B67" t="s">
        <v>4</v>
      </c>
      <c r="C67" t="s">
        <v>6</v>
      </c>
      <c r="D67" s="2">
        <v>327</v>
      </c>
      <c r="E67" s="2">
        <v>135.83571447152099</v>
      </c>
      <c r="F67" s="34">
        <v>7.9238082485270506E-3</v>
      </c>
      <c r="G67" s="34">
        <v>3.0816076653066502</v>
      </c>
    </row>
    <row r="68" spans="1:11" x14ac:dyDescent="0.75">
      <c r="A68" t="s">
        <v>11</v>
      </c>
      <c r="B68" t="s">
        <v>4</v>
      </c>
      <c r="C68" t="s">
        <v>6</v>
      </c>
      <c r="D68" s="2">
        <v>342</v>
      </c>
      <c r="E68" s="2">
        <v>133.44841200003401</v>
      </c>
      <c r="F68" s="34">
        <v>8.7766001975655896E-3</v>
      </c>
      <c r="G68" s="34">
        <v>3.0975482161127599</v>
      </c>
    </row>
    <row r="69" spans="1:11" x14ac:dyDescent="0.75">
      <c r="D69" s="3">
        <f>AVERAGE(D66:D68)</f>
        <v>327.33333333333331</v>
      </c>
      <c r="E69" s="3">
        <f>AVERAGE(E66:E68)</f>
        <v>134.16190868254066</v>
      </c>
      <c r="F69" s="34"/>
      <c r="G69" s="34"/>
      <c r="H69" s="37">
        <f>_xlfn.STDEV.P(D66:D68)/D69</f>
        <v>3.6175803805156032E-2</v>
      </c>
      <c r="I69" s="2">
        <f>_xlfn.STDEV.P(E66:E68)</f>
        <v>1.187840746220959</v>
      </c>
    </row>
    <row r="70" spans="1:11" x14ac:dyDescent="0.75">
      <c r="A70" t="s">
        <v>11</v>
      </c>
      <c r="B70" t="s">
        <v>4</v>
      </c>
      <c r="C70" t="s">
        <v>3</v>
      </c>
      <c r="D70" s="2">
        <v>292</v>
      </c>
      <c r="E70" s="2">
        <v>235.855308957684</v>
      </c>
      <c r="F70" s="34">
        <v>1.6402497196512001E-3</v>
      </c>
      <c r="G70" s="34">
        <v>2.8828430509687699</v>
      </c>
    </row>
    <row r="71" spans="1:11" x14ac:dyDescent="0.75">
      <c r="A71" t="s">
        <v>11</v>
      </c>
      <c r="B71" t="s">
        <v>4</v>
      </c>
      <c r="C71" t="s">
        <v>3</v>
      </c>
      <c r="D71" s="2">
        <v>352</v>
      </c>
      <c r="E71" s="2">
        <v>242.24679267879401</v>
      </c>
      <c r="F71" s="34">
        <v>2.1650026978748799E-3</v>
      </c>
      <c r="G71" s="34">
        <v>2.9072767081342401</v>
      </c>
    </row>
    <row r="72" spans="1:11" x14ac:dyDescent="0.75">
      <c r="A72" t="s">
        <v>11</v>
      </c>
      <c r="B72" t="s">
        <v>4</v>
      </c>
      <c r="C72" t="s">
        <v>3</v>
      </c>
      <c r="D72" s="2">
        <v>301</v>
      </c>
      <c r="E72" s="2">
        <v>239.71656775806599</v>
      </c>
      <c r="F72" s="34">
        <v>1.9853758487230698E-3</v>
      </c>
      <c r="G72" s="34">
        <v>2.8972697323569498</v>
      </c>
    </row>
    <row r="73" spans="1:11" x14ac:dyDescent="0.75">
      <c r="D73" s="3">
        <f>AVERAGE(D70:D72)</f>
        <v>315</v>
      </c>
      <c r="E73" s="3">
        <f>AVERAGE(E70:E72)</f>
        <v>239.27288979818135</v>
      </c>
      <c r="F73" s="34"/>
      <c r="G73" s="34"/>
      <c r="H73" s="37">
        <f>_xlfn.STDEV.P(D70:D72)/D73</f>
        <v>8.3872030562685121E-2</v>
      </c>
      <c r="I73" s="2">
        <f>_xlfn.STDEV.P(E70:E72)</f>
        <v>2.6281049748654906</v>
      </c>
    </row>
    <row r="74" spans="1:11" x14ac:dyDescent="0.75">
      <c r="A74" t="s">
        <v>12</v>
      </c>
      <c r="B74" t="s">
        <v>2</v>
      </c>
      <c r="C74" t="s">
        <v>6</v>
      </c>
      <c r="D74" s="2">
        <v>54</v>
      </c>
      <c r="E74" s="2">
        <v>109214010.73305</v>
      </c>
      <c r="F74" s="34">
        <v>7.8373098692668605E-3</v>
      </c>
      <c r="G74" s="34">
        <v>3.04038402747861</v>
      </c>
    </row>
    <row r="75" spans="1:11" x14ac:dyDescent="0.75">
      <c r="A75" t="s">
        <v>12</v>
      </c>
      <c r="B75" t="s">
        <v>2</v>
      </c>
      <c r="C75" t="s">
        <v>6</v>
      </c>
      <c r="F75" s="34">
        <v>8.4436665820518605E-3</v>
      </c>
      <c r="G75" s="34">
        <v>3.0560508741271701</v>
      </c>
      <c r="J75" s="2">
        <v>60</v>
      </c>
      <c r="K75" s="2">
        <v>98494849.934959099</v>
      </c>
    </row>
    <row r="76" spans="1:11" x14ac:dyDescent="0.75">
      <c r="A76" t="s">
        <v>12</v>
      </c>
      <c r="B76" t="s">
        <v>2</v>
      </c>
      <c r="C76" t="s">
        <v>6</v>
      </c>
      <c r="D76" s="2">
        <v>61</v>
      </c>
      <c r="E76" s="2">
        <v>193668966.55731699</v>
      </c>
      <c r="F76" s="34">
        <v>8.7477287302265908E-3</v>
      </c>
      <c r="G76" s="34">
        <v>3.0620156199970001</v>
      </c>
    </row>
    <row r="77" spans="1:11" x14ac:dyDescent="0.75">
      <c r="D77" s="3">
        <f>AVERAGE(D74:D76)</f>
        <v>57.5</v>
      </c>
      <c r="E77" s="3">
        <f>AVERAGE(E74:E76)</f>
        <v>151441488.6451835</v>
      </c>
      <c r="F77" s="34"/>
      <c r="G77" s="34"/>
      <c r="H77" s="37">
        <f>_xlfn.STDEV.P(D74:D76)/D77</f>
        <v>6.0869565217391307E-2</v>
      </c>
      <c r="I77" s="2">
        <f>_xlfn.STDEV.P(E74:E76)</f>
        <v>42227477.91213347</v>
      </c>
    </row>
    <row r="78" spans="1:11" x14ac:dyDescent="0.75">
      <c r="A78" t="s">
        <v>12</v>
      </c>
      <c r="B78" t="s">
        <v>2</v>
      </c>
      <c r="C78" t="s">
        <v>3</v>
      </c>
      <c r="F78" s="34">
        <v>8.9812462230353903E-4</v>
      </c>
      <c r="G78" s="34">
        <v>2.8318697820213301</v>
      </c>
      <c r="J78" s="2">
        <v>86</v>
      </c>
      <c r="K78" s="2">
        <v>7855.80928512422</v>
      </c>
    </row>
    <row r="79" spans="1:11" x14ac:dyDescent="0.75">
      <c r="A79" t="s">
        <v>12</v>
      </c>
      <c r="B79" t="s">
        <v>2</v>
      </c>
      <c r="C79" t="s">
        <v>3</v>
      </c>
      <c r="D79" s="2">
        <v>75</v>
      </c>
      <c r="E79" s="2">
        <v>10232.363102381199</v>
      </c>
      <c r="F79" s="34">
        <v>9.6137155675430296E-4</v>
      </c>
      <c r="G79" s="34">
        <v>2.83272750541202</v>
      </c>
    </row>
    <row r="80" spans="1:11" x14ac:dyDescent="0.75">
      <c r="A80" t="s">
        <v>12</v>
      </c>
      <c r="B80" t="s">
        <v>2</v>
      </c>
      <c r="C80" t="s">
        <v>3</v>
      </c>
      <c r="D80" s="2">
        <v>65</v>
      </c>
      <c r="E80" s="2">
        <v>10310.7842269063</v>
      </c>
      <c r="F80" s="34">
        <v>1.0312994372909899E-3</v>
      </c>
      <c r="G80" s="34">
        <v>2.8373744443177098</v>
      </c>
    </row>
    <row r="81" spans="1:9" x14ac:dyDescent="0.75">
      <c r="D81" s="3">
        <f>AVERAGE(D78:D80)</f>
        <v>70</v>
      </c>
      <c r="E81" s="3">
        <f>AVERAGE(E78:E80)</f>
        <v>10271.573664643751</v>
      </c>
      <c r="F81" s="34"/>
      <c r="G81" s="34"/>
      <c r="H81" s="37">
        <f>_xlfn.STDEV.P(D78:D80)/D81</f>
        <v>7.1428571428571425E-2</v>
      </c>
      <c r="I81" s="2">
        <f>_xlfn.STDEV.P(E78:E80)</f>
        <v>39.210562262550411</v>
      </c>
    </row>
    <row r="82" spans="1:9" x14ac:dyDescent="0.75">
      <c r="A82" t="s">
        <v>12</v>
      </c>
      <c r="B82" t="s">
        <v>4</v>
      </c>
      <c r="C82" t="s">
        <v>6</v>
      </c>
      <c r="D82" s="2">
        <v>57</v>
      </c>
      <c r="E82" s="2">
        <v>142.657711029052</v>
      </c>
      <c r="F82" s="34">
        <v>6.9135258982080897E-3</v>
      </c>
      <c r="G82" s="34">
        <v>3.0226424089427</v>
      </c>
    </row>
    <row r="83" spans="1:9" x14ac:dyDescent="0.75">
      <c r="A83" t="s">
        <v>12</v>
      </c>
      <c r="B83" t="s">
        <v>4</v>
      </c>
      <c r="C83" t="s">
        <v>6</v>
      </c>
      <c r="D83" s="2">
        <v>64</v>
      </c>
      <c r="E83" s="2">
        <v>152.50546960915699</v>
      </c>
      <c r="F83" s="34">
        <v>7.7916013475200999E-3</v>
      </c>
      <c r="G83" s="34">
        <v>3.04068924937688</v>
      </c>
    </row>
    <row r="84" spans="1:9" x14ac:dyDescent="0.75">
      <c r="A84" t="s">
        <v>12</v>
      </c>
      <c r="B84" t="s">
        <v>4</v>
      </c>
      <c r="C84" t="s">
        <v>6</v>
      </c>
      <c r="D84" s="2">
        <v>82</v>
      </c>
      <c r="E84" s="2">
        <v>147.24659674394101</v>
      </c>
      <c r="F84" s="34">
        <v>8.1066474509097503E-3</v>
      </c>
      <c r="G84" s="34">
        <v>3.0464393398412701</v>
      </c>
    </row>
    <row r="85" spans="1:9" x14ac:dyDescent="0.75">
      <c r="D85" s="3">
        <f>AVERAGE(D82:D84)</f>
        <v>67.666666666666671</v>
      </c>
      <c r="E85" s="3">
        <f>AVERAGE(E82:E84)</f>
        <v>147.46992579405</v>
      </c>
      <c r="F85" s="34"/>
      <c r="G85" s="34"/>
      <c r="H85" s="37">
        <f>_xlfn.STDEV.P(D82:D84)/D85</f>
        <v>0.15562136944759916</v>
      </c>
      <c r="I85" s="2">
        <f>_xlfn.STDEV.P(E82:E84)</f>
        <v>4.0234308876442606</v>
      </c>
    </row>
    <row r="86" spans="1:9" x14ac:dyDescent="0.75">
      <c r="A86" t="s">
        <v>12</v>
      </c>
      <c r="B86" t="s">
        <v>4</v>
      </c>
      <c r="C86" t="s">
        <v>3</v>
      </c>
      <c r="D86" s="2">
        <v>46</v>
      </c>
      <c r="E86" s="2">
        <v>98.339728102979095</v>
      </c>
      <c r="F86" s="34">
        <v>7.8364417885761395E-4</v>
      </c>
      <c r="G86" s="34">
        <v>2.8232381772600399</v>
      </c>
    </row>
    <row r="87" spans="1:9" x14ac:dyDescent="0.75">
      <c r="A87" t="s">
        <v>12</v>
      </c>
      <c r="B87" t="s">
        <v>4</v>
      </c>
      <c r="C87" t="s">
        <v>3</v>
      </c>
      <c r="D87" s="2">
        <v>57</v>
      </c>
      <c r="E87" s="2">
        <v>96.930090209286703</v>
      </c>
      <c r="F87" s="34">
        <v>9.7380075769702798E-4</v>
      </c>
      <c r="G87" s="34">
        <v>2.8320376408032701</v>
      </c>
    </row>
    <row r="88" spans="1:9" x14ac:dyDescent="0.75">
      <c r="A88" t="s">
        <v>12</v>
      </c>
      <c r="B88" t="s">
        <v>4</v>
      </c>
      <c r="C88" t="s">
        <v>3</v>
      </c>
      <c r="D88" s="2">
        <v>46</v>
      </c>
      <c r="E88" s="2">
        <v>95.338499172552702</v>
      </c>
      <c r="F88" s="34">
        <v>1.57398391335085E-3</v>
      </c>
      <c r="G88" s="34">
        <v>2.86057148021239</v>
      </c>
    </row>
    <row r="89" spans="1:9" x14ac:dyDescent="0.75">
      <c r="D89" s="3">
        <f>AVERAGE(D86:D88)</f>
        <v>49.666666666666664</v>
      </c>
      <c r="E89" s="3">
        <f>AVERAGE(E86:E88)</f>
        <v>96.869439161606167</v>
      </c>
      <c r="F89" s="34"/>
      <c r="G89" s="34"/>
      <c r="H89" s="37">
        <f>_xlfn.STDEV.P(D86:D88)/D89</f>
        <v>0.10440502809465803</v>
      </c>
      <c r="I89" s="2">
        <f>_xlfn.STDEV.P(E86:E88)</f>
        <v>1.2259969237034944</v>
      </c>
    </row>
    <row r="90" spans="1:9" x14ac:dyDescent="0.75">
      <c r="A90" t="s">
        <v>13</v>
      </c>
      <c r="B90" t="s">
        <v>2</v>
      </c>
      <c r="C90" t="s">
        <v>14</v>
      </c>
      <c r="D90" s="2">
        <v>68</v>
      </c>
      <c r="E90" s="2">
        <v>16.924361752889499</v>
      </c>
      <c r="F90" s="34">
        <v>8.5275667875824197E-3</v>
      </c>
      <c r="G90" s="34">
        <v>3.1615074872879401</v>
      </c>
    </row>
    <row r="91" spans="1:9" x14ac:dyDescent="0.75">
      <c r="A91" t="s">
        <v>13</v>
      </c>
      <c r="B91" t="s">
        <v>2</v>
      </c>
      <c r="C91" t="s">
        <v>14</v>
      </c>
      <c r="D91" s="2">
        <v>74</v>
      </c>
      <c r="E91" s="2">
        <v>18.157145726318799</v>
      </c>
      <c r="F91" s="34">
        <v>7.73619443368117E-3</v>
      </c>
      <c r="G91" s="34">
        <v>3.13785979358825</v>
      </c>
    </row>
    <row r="92" spans="1:9" x14ac:dyDescent="0.75">
      <c r="D92" s="3">
        <f>AVERAGE(D90:D91)</f>
        <v>71</v>
      </c>
      <c r="E92" s="3">
        <f>AVERAGE(E90:E91)</f>
        <v>17.540753739604149</v>
      </c>
      <c r="F92" s="34"/>
      <c r="G92" s="34"/>
      <c r="H92" s="37">
        <f>_xlfn.STDEV.P(D90:D91)/D92</f>
        <v>4.2253521126760563E-2</v>
      </c>
      <c r="I92" s="2">
        <f>_xlfn.STDEV.P(E89:E91)</f>
        <v>37.399287420504606</v>
      </c>
    </row>
    <row r="93" spans="1:9" x14ac:dyDescent="0.75">
      <c r="A93" t="s">
        <v>13</v>
      </c>
      <c r="B93" t="s">
        <v>4</v>
      </c>
      <c r="C93" t="s">
        <v>3</v>
      </c>
      <c r="D93" s="2">
        <v>59</v>
      </c>
      <c r="E93" s="2">
        <v>17.8834610360217</v>
      </c>
      <c r="F93" s="34">
        <v>8.3426288966221996E-3</v>
      </c>
      <c r="G93" s="34">
        <v>3.1485767091883101</v>
      </c>
    </row>
    <row r="94" spans="1:9" x14ac:dyDescent="0.75">
      <c r="A94" t="s">
        <v>13</v>
      </c>
      <c r="B94" t="s">
        <v>4</v>
      </c>
      <c r="C94" t="s">
        <v>3</v>
      </c>
      <c r="D94" s="2">
        <v>60</v>
      </c>
      <c r="E94" s="2">
        <v>16.834680975698699</v>
      </c>
      <c r="F94" s="34">
        <v>9.1162057342905004E-3</v>
      </c>
      <c r="G94" s="34">
        <v>3.1716496812557202</v>
      </c>
    </row>
    <row r="95" spans="1:9" x14ac:dyDescent="0.75">
      <c r="A95" t="s">
        <v>13</v>
      </c>
      <c r="B95" t="s">
        <v>4</v>
      </c>
      <c r="C95" t="s">
        <v>3</v>
      </c>
      <c r="D95" s="2">
        <v>64</v>
      </c>
      <c r="E95" s="2">
        <v>17.0739715544454</v>
      </c>
      <c r="F95" s="34">
        <v>9.1012058095362204E-3</v>
      </c>
      <c r="G95" s="34">
        <v>3.1701653168389501</v>
      </c>
    </row>
    <row r="96" spans="1:9" x14ac:dyDescent="0.75">
      <c r="D96" s="3">
        <f>AVERAGE(D93:D95)</f>
        <v>61</v>
      </c>
      <c r="E96" s="3">
        <f>AVERAGE(E93:E95)</f>
        <v>17.264037855388601</v>
      </c>
      <c r="F96" s="34"/>
      <c r="G96" s="34"/>
      <c r="H96" s="37">
        <f>_xlfn.STDEV.P(D93:D95)/D96</f>
        <v>3.541388359785716E-2</v>
      </c>
      <c r="I96" s="2">
        <f>_xlfn.STDEV.P(E93:E95)</f>
        <v>0.44876036871843039</v>
      </c>
    </row>
    <row r="97" spans="1:9" x14ac:dyDescent="0.75">
      <c r="A97" t="s">
        <v>13</v>
      </c>
      <c r="B97" t="s">
        <v>4</v>
      </c>
      <c r="C97" t="s">
        <v>6</v>
      </c>
      <c r="D97" s="2">
        <v>583</v>
      </c>
      <c r="E97" s="2">
        <v>127.737643531847</v>
      </c>
      <c r="F97" s="34">
        <v>1.02189781021898E-2</v>
      </c>
      <c r="G97" s="34">
        <v>3.1638693649579102</v>
      </c>
    </row>
    <row r="98" spans="1:9" x14ac:dyDescent="0.75">
      <c r="A98" t="s">
        <v>13</v>
      </c>
      <c r="B98" t="s">
        <v>4</v>
      </c>
      <c r="C98" t="s">
        <v>6</v>
      </c>
      <c r="D98" s="2">
        <v>591</v>
      </c>
      <c r="E98" s="2">
        <v>129.88731511364301</v>
      </c>
      <c r="F98" s="34">
        <v>9.7712419399867498E-3</v>
      </c>
      <c r="G98" s="34">
        <v>3.1460063484129801</v>
      </c>
    </row>
    <row r="99" spans="1:9" x14ac:dyDescent="0.75">
      <c r="A99" t="s">
        <v>13</v>
      </c>
      <c r="B99" t="s">
        <v>4</v>
      </c>
      <c r="C99" t="s">
        <v>6</v>
      </c>
      <c r="D99" s="2">
        <v>579</v>
      </c>
      <c r="E99" s="2">
        <v>131.71343067615999</v>
      </c>
      <c r="F99" s="34">
        <v>1.04895928302052E-2</v>
      </c>
      <c r="G99" s="34">
        <v>3.1651081812634199</v>
      </c>
    </row>
    <row r="100" spans="1:9" x14ac:dyDescent="0.75">
      <c r="D100" s="3">
        <f>AVERAGE(D97:D99)</f>
        <v>584.33333333333337</v>
      </c>
      <c r="E100" s="3">
        <f>AVERAGE(E97:E99)</f>
        <v>129.77946310721666</v>
      </c>
      <c r="F100" s="34"/>
      <c r="G100" s="34"/>
      <c r="H100" s="37">
        <f>_xlfn.STDEV.P(D97:D99)/D100</f>
        <v>8.5377236435229681E-3</v>
      </c>
      <c r="I100" s="2">
        <f>_xlfn.STDEV.P(E97:E99)</f>
        <v>1.6248989498199058</v>
      </c>
    </row>
    <row r="101" spans="1:9" x14ac:dyDescent="0.75">
      <c r="A101" t="s">
        <v>13</v>
      </c>
      <c r="B101" t="s">
        <v>2</v>
      </c>
      <c r="C101" t="s">
        <v>6</v>
      </c>
      <c r="D101" s="2">
        <v>692</v>
      </c>
      <c r="E101" s="2">
        <v>130.529394633419</v>
      </c>
      <c r="F101" s="34">
        <v>1.39939039792533E-2</v>
      </c>
      <c r="G101" s="34">
        <v>3.2261731821896702</v>
      </c>
    </row>
    <row r="102" spans="1:9" x14ac:dyDescent="0.75">
      <c r="A102" t="s">
        <v>13</v>
      </c>
      <c r="B102" t="s">
        <v>2</v>
      </c>
      <c r="C102" t="s">
        <v>6</v>
      </c>
      <c r="D102" s="2">
        <v>654</v>
      </c>
      <c r="E102" s="2">
        <v>127.78292955528801</v>
      </c>
      <c r="F102" s="34">
        <v>1.32467278831163E-2</v>
      </c>
      <c r="G102" s="34">
        <v>3.21553680500134</v>
      </c>
    </row>
    <row r="103" spans="1:9" x14ac:dyDescent="0.75">
      <c r="A103" t="s">
        <v>13</v>
      </c>
      <c r="B103" t="s">
        <v>2</v>
      </c>
      <c r="C103" t="s">
        <v>6</v>
      </c>
      <c r="D103" s="2">
        <v>630</v>
      </c>
      <c r="E103" s="2">
        <v>127.57189847283</v>
      </c>
      <c r="F103" s="34">
        <v>1.27429696571919E-2</v>
      </c>
      <c r="G103" s="34">
        <v>3.2035332746022198</v>
      </c>
    </row>
    <row r="104" spans="1:9" x14ac:dyDescent="0.75">
      <c r="A104" t="s">
        <v>13</v>
      </c>
      <c r="B104" t="s">
        <v>2</v>
      </c>
      <c r="C104" t="s">
        <v>6</v>
      </c>
      <c r="D104" s="2">
        <v>641</v>
      </c>
      <c r="E104" s="2">
        <v>133.005228340614</v>
      </c>
      <c r="F104" s="34">
        <v>1.3841238203298901E-2</v>
      </c>
      <c r="G104" s="34">
        <v>3.2201767827758099</v>
      </c>
    </row>
    <row r="105" spans="1:9" x14ac:dyDescent="0.75">
      <c r="D105" s="3">
        <f>AVERAGE(D101:D104)</f>
        <v>654.25</v>
      </c>
      <c r="E105" s="3">
        <f>AVERAGE(E101:E104)</f>
        <v>129.72236275053774</v>
      </c>
      <c r="F105" s="34"/>
      <c r="G105" s="34"/>
      <c r="H105" s="37">
        <f>_xlfn.STDEV.P(D101:D104)/D105</f>
        <v>3.5753976681930651E-2</v>
      </c>
      <c r="I105" s="2">
        <f>_xlfn.STDEV.P(E101:E104)</f>
        <v>2.225668701257403</v>
      </c>
    </row>
    <row r="106" spans="1:9" x14ac:dyDescent="0.75">
      <c r="D106" s="3"/>
      <c r="E106" s="3"/>
      <c r="F106" s="34"/>
      <c r="G106" s="34"/>
    </row>
    <row r="107" spans="1:9" x14ac:dyDescent="0.75">
      <c r="A107" t="s">
        <v>13</v>
      </c>
      <c r="B107" t="s">
        <v>2</v>
      </c>
      <c r="D107" s="2">
        <v>2099</v>
      </c>
      <c r="E107" s="2">
        <v>138.608886527859</v>
      </c>
      <c r="F107" s="34">
        <v>1.35237483564889E-2</v>
      </c>
      <c r="G107" s="34">
        <v>3.2102613035987901</v>
      </c>
      <c r="H107" t="s">
        <v>25</v>
      </c>
    </row>
    <row r="108" spans="1:9" x14ac:dyDescent="0.75">
      <c r="D108" s="3"/>
      <c r="E108" s="3"/>
      <c r="F108" s="34"/>
      <c r="G108" s="34"/>
    </row>
    <row r="109" spans="1:9" x14ac:dyDescent="0.75">
      <c r="A109" t="s">
        <v>17</v>
      </c>
      <c r="B109" t="s">
        <v>2</v>
      </c>
      <c r="C109" t="s">
        <v>3</v>
      </c>
      <c r="D109" s="2">
        <v>409</v>
      </c>
      <c r="E109" s="2">
        <v>26.000579528347899</v>
      </c>
      <c r="F109" s="34">
        <v>9.3024346451206601E-3</v>
      </c>
      <c r="G109" s="34">
        <v>3.1702811876785999</v>
      </c>
    </row>
    <row r="110" spans="1:9" x14ac:dyDescent="0.75">
      <c r="A110" t="s">
        <v>17</v>
      </c>
      <c r="B110" t="s">
        <v>2</v>
      </c>
      <c r="C110" t="s">
        <v>3</v>
      </c>
      <c r="D110" s="2">
        <v>463</v>
      </c>
      <c r="E110" s="2">
        <v>28.4389646239913</v>
      </c>
      <c r="F110" s="34">
        <v>9.2393380652685299E-3</v>
      </c>
      <c r="G110" s="34">
        <v>3.1732766921701199</v>
      </c>
    </row>
    <row r="111" spans="1:9" x14ac:dyDescent="0.75">
      <c r="A111" t="s">
        <v>17</v>
      </c>
      <c r="B111" t="s">
        <v>2</v>
      </c>
      <c r="C111" t="s">
        <v>3</v>
      </c>
      <c r="D111" s="2">
        <v>468</v>
      </c>
      <c r="E111" s="2">
        <v>29.848542772977101</v>
      </c>
      <c r="F111" s="34">
        <v>1.07160694114374E-2</v>
      </c>
      <c r="G111" s="34">
        <v>3.2035732790450102</v>
      </c>
    </row>
    <row r="112" spans="1:9" x14ac:dyDescent="0.75">
      <c r="D112" s="3">
        <f>AVERAGE(D109:D111)</f>
        <v>446.66666666666669</v>
      </c>
      <c r="E112" s="3">
        <f>AVERAGE(E109:E111)</f>
        <v>28.09602897510543</v>
      </c>
      <c r="F112" s="34"/>
      <c r="G112" s="34"/>
    </row>
    <row r="113" spans="1:7" x14ac:dyDescent="0.75">
      <c r="A113" t="s">
        <v>17</v>
      </c>
      <c r="B113" t="s">
        <v>4</v>
      </c>
      <c r="C113" t="s">
        <v>3</v>
      </c>
      <c r="D113" s="2">
        <v>426</v>
      </c>
      <c r="E113" s="2">
        <v>26.395619725719602</v>
      </c>
      <c r="F113" s="34">
        <v>1.02845423562962E-2</v>
      </c>
      <c r="G113" s="34">
        <v>3.20349481955737</v>
      </c>
    </row>
    <row r="114" spans="1:7" x14ac:dyDescent="0.75">
      <c r="A114" t="s">
        <v>17</v>
      </c>
      <c r="B114" t="s">
        <v>4</v>
      </c>
      <c r="C114" t="s">
        <v>3</v>
      </c>
      <c r="D114" s="2">
        <v>505</v>
      </c>
      <c r="E114" s="2">
        <v>29.115707268899602</v>
      </c>
      <c r="F114" s="34">
        <v>1.0434619330870001E-2</v>
      </c>
      <c r="G114" s="34">
        <v>3.2066887192502</v>
      </c>
    </row>
    <row r="115" spans="1:7" x14ac:dyDescent="0.75">
      <c r="A115" t="s">
        <v>17</v>
      </c>
      <c r="B115" t="s">
        <v>4</v>
      </c>
      <c r="C115" t="s">
        <v>3</v>
      </c>
      <c r="D115" s="2">
        <v>510</v>
      </c>
      <c r="E115" s="2">
        <v>28.0884674758438</v>
      </c>
      <c r="F115" s="34">
        <v>8.8594653481940799E-3</v>
      </c>
      <c r="G115" s="34">
        <v>3.1666172870721399</v>
      </c>
    </row>
    <row r="116" spans="1:7" x14ac:dyDescent="0.75">
      <c r="D116" s="3">
        <f>AVERAGE(D113:D115)</f>
        <v>480.33333333333331</v>
      </c>
      <c r="E116" s="3">
        <f>AVERAGE(E113:E115)</f>
        <v>27.866598156820999</v>
      </c>
      <c r="F116" s="34"/>
      <c r="G116" s="34"/>
    </row>
    <row r="117" spans="1:7" x14ac:dyDescent="0.75">
      <c r="A117" t="s">
        <v>18</v>
      </c>
      <c r="B117" t="s">
        <v>2</v>
      </c>
      <c r="C117" t="s">
        <v>6</v>
      </c>
      <c r="D117" s="2">
        <v>729</v>
      </c>
      <c r="E117" s="2">
        <v>328.88302678941898</v>
      </c>
      <c r="F117" s="34">
        <v>1.7998655000996899E-2</v>
      </c>
      <c r="G117" s="34">
        <v>3.2802415090445098</v>
      </c>
    </row>
    <row r="118" spans="1:7" x14ac:dyDescent="0.75">
      <c r="A118" t="s">
        <v>18</v>
      </c>
      <c r="B118" t="s">
        <v>2</v>
      </c>
      <c r="C118" t="s">
        <v>6</v>
      </c>
      <c r="D118" s="2">
        <v>740</v>
      </c>
      <c r="E118" s="2">
        <v>343.83869630878303</v>
      </c>
      <c r="F118" s="34">
        <v>1.7031917949411099E-2</v>
      </c>
      <c r="G118" s="34">
        <v>3.2726883688098298</v>
      </c>
    </row>
    <row r="119" spans="1:7" x14ac:dyDescent="0.75">
      <c r="A119" t="s">
        <v>18</v>
      </c>
      <c r="B119" t="s">
        <v>2</v>
      </c>
      <c r="C119" t="s">
        <v>6</v>
      </c>
      <c r="D119" s="2">
        <v>772</v>
      </c>
      <c r="E119" s="2">
        <v>344.69049695985802</v>
      </c>
      <c r="F119" s="34">
        <v>1.7124920937186101E-2</v>
      </c>
      <c r="G119" s="34">
        <v>3.27425346982396</v>
      </c>
    </row>
    <row r="120" spans="1:7" x14ac:dyDescent="0.75">
      <c r="D120" s="3">
        <f>AVERAGE(D117:D119)</f>
        <v>747</v>
      </c>
      <c r="E120" s="3">
        <f>AVERAGE(E117:E119)</f>
        <v>339.13740668602003</v>
      </c>
      <c r="F120" s="34"/>
      <c r="G120" s="34"/>
    </row>
    <row r="121" spans="1:7" x14ac:dyDescent="0.75">
      <c r="A121" t="s">
        <v>18</v>
      </c>
      <c r="B121" t="s">
        <v>4</v>
      </c>
      <c r="C121" t="s">
        <v>6</v>
      </c>
      <c r="D121" s="2">
        <v>738</v>
      </c>
      <c r="E121" s="2">
        <v>257.05952809834997</v>
      </c>
      <c r="F121" s="34">
        <v>1.6421298704808501E-2</v>
      </c>
      <c r="G121" s="34">
        <v>3.2659082839937699</v>
      </c>
    </row>
    <row r="122" spans="1:7" x14ac:dyDescent="0.75">
      <c r="A122" t="s">
        <v>18</v>
      </c>
      <c r="B122" t="s">
        <v>4</v>
      </c>
      <c r="C122" t="s">
        <v>6</v>
      </c>
      <c r="D122" s="2">
        <v>748</v>
      </c>
      <c r="E122" s="2">
        <v>265.68664360753502</v>
      </c>
      <c r="F122" s="34">
        <v>1.73365280307664E-2</v>
      </c>
      <c r="G122" s="34">
        <v>3.2794118236223002</v>
      </c>
    </row>
    <row r="123" spans="1:7" x14ac:dyDescent="0.75">
      <c r="A123" t="s">
        <v>18</v>
      </c>
      <c r="B123" t="s">
        <v>4</v>
      </c>
      <c r="C123" t="s">
        <v>6</v>
      </c>
      <c r="D123" s="2">
        <v>708</v>
      </c>
      <c r="E123" s="2">
        <v>259.07978115143999</v>
      </c>
      <c r="F123" s="34">
        <v>1.7111100607059199E-2</v>
      </c>
      <c r="G123" s="34">
        <v>3.2703758155884302</v>
      </c>
    </row>
    <row r="124" spans="1:7" x14ac:dyDescent="0.75">
      <c r="D124" s="3">
        <f>AVERAGE(D121:D123)</f>
        <v>731.33333333333337</v>
      </c>
      <c r="E124" s="3">
        <f>AVERAGE(E121:E123)</f>
        <v>260.60865095244168</v>
      </c>
      <c r="F124" s="34"/>
      <c r="G124" s="34"/>
    </row>
    <row r="125" spans="1:7" x14ac:dyDescent="0.75">
      <c r="F125" s="34"/>
      <c r="G125" s="34"/>
    </row>
    <row r="126" spans="1:7" x14ac:dyDescent="0.75">
      <c r="F126" s="34"/>
      <c r="G126" s="34"/>
    </row>
    <row r="127" spans="1:7" x14ac:dyDescent="0.75">
      <c r="F127" s="34"/>
      <c r="G127" s="34"/>
    </row>
    <row r="128" spans="1:7" x14ac:dyDescent="0.75">
      <c r="F128" s="34"/>
      <c r="G128" s="34"/>
    </row>
    <row r="129" spans="1:7" x14ac:dyDescent="0.75">
      <c r="F129" s="34"/>
      <c r="G129" s="34"/>
    </row>
    <row r="130" spans="1:7" x14ac:dyDescent="0.75">
      <c r="F130" s="34"/>
      <c r="G130" s="34"/>
    </row>
    <row r="131" spans="1:7" x14ac:dyDescent="0.75">
      <c r="F131" s="34"/>
      <c r="G131" s="34"/>
    </row>
    <row r="132" spans="1:7" x14ac:dyDescent="0.75">
      <c r="A132" t="s">
        <v>15</v>
      </c>
      <c r="B132" t="s">
        <v>16</v>
      </c>
      <c r="C132" t="s">
        <v>6</v>
      </c>
      <c r="D132" s="2">
        <v>257</v>
      </c>
      <c r="E132" s="2">
        <v>625.576036620384</v>
      </c>
      <c r="F132" s="34">
        <v>2.8709729755998201</v>
      </c>
      <c r="G132" s="34">
        <v>11.6797098325034</v>
      </c>
    </row>
    <row r="133" spans="1:7" x14ac:dyDescent="0.75">
      <c r="A133" t="s">
        <v>15</v>
      </c>
      <c r="B133" t="s">
        <v>16</v>
      </c>
      <c r="C133" t="s">
        <v>6</v>
      </c>
      <c r="D133" s="2">
        <v>237</v>
      </c>
      <c r="E133" s="2">
        <v>641.79637132071105</v>
      </c>
      <c r="F133" s="34">
        <v>2.9042958045774698</v>
      </c>
      <c r="G133" s="34">
        <v>11.746594731559201</v>
      </c>
    </row>
    <row r="134" spans="1:7" x14ac:dyDescent="0.75">
      <c r="A134" t="s">
        <v>15</v>
      </c>
      <c r="B134" t="s">
        <v>16</v>
      </c>
      <c r="C134" t="s">
        <v>6</v>
      </c>
      <c r="D134" s="2">
        <v>247</v>
      </c>
      <c r="E134" s="2">
        <v>671.85221461321498</v>
      </c>
      <c r="F134" s="34">
        <v>2.9924756741145901</v>
      </c>
      <c r="G134" s="34">
        <v>11.8698807156272</v>
      </c>
    </row>
    <row r="135" spans="1:7" x14ac:dyDescent="0.75">
      <c r="A135" t="s">
        <v>15</v>
      </c>
      <c r="B135" t="s">
        <v>4</v>
      </c>
      <c r="C135" t="s">
        <v>6</v>
      </c>
      <c r="D135" s="2">
        <v>198</v>
      </c>
      <c r="E135" s="2">
        <v>158.18255151576901</v>
      </c>
      <c r="F135" s="34">
        <v>2.9541762956429598</v>
      </c>
      <c r="G135" s="34">
        <v>11.8040618891223</v>
      </c>
    </row>
    <row r="136" spans="1:7" x14ac:dyDescent="0.75">
      <c r="A136" t="s">
        <v>15</v>
      </c>
      <c r="B136" t="s">
        <v>4</v>
      </c>
      <c r="C136" t="s">
        <v>6</v>
      </c>
      <c r="D136" s="2">
        <v>207</v>
      </c>
      <c r="E136" s="2">
        <v>167.36297653884</v>
      </c>
      <c r="F136" s="34">
        <v>3.0115546359435799</v>
      </c>
      <c r="G136" s="34">
        <v>11.9388996157706</v>
      </c>
    </row>
    <row r="137" spans="1:7" x14ac:dyDescent="0.75">
      <c r="A137" t="s">
        <v>15</v>
      </c>
      <c r="B137" t="s">
        <v>4</v>
      </c>
      <c r="C137" t="s">
        <v>6</v>
      </c>
      <c r="D137" s="2">
        <v>216</v>
      </c>
      <c r="E137" s="2">
        <v>172.408978785134</v>
      </c>
      <c r="F137" s="34">
        <v>3.0304520467706499</v>
      </c>
      <c r="G137" s="34">
        <v>11.9697640478072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6E51-B87C-41AE-A84C-07DB5BD05D05}">
  <dimension ref="A1:O43"/>
  <sheetViews>
    <sheetView workbookViewId="0">
      <selection activeCell="K16" sqref="K16"/>
    </sheetView>
  </sheetViews>
  <sheetFormatPr defaultRowHeight="14.75" x14ac:dyDescent="0.75"/>
  <cols>
    <col min="1" max="1" width="28" bestFit="1" customWidth="1"/>
    <col min="2" max="2" width="9.26953125" bestFit="1" customWidth="1"/>
    <col min="3" max="3" width="10.54296875" bestFit="1" customWidth="1"/>
    <col min="4" max="5" width="9.26953125" bestFit="1" customWidth="1"/>
    <col min="8" max="8" width="9.54296875" bestFit="1" customWidth="1"/>
  </cols>
  <sheetData>
    <row r="1" spans="1:15" s="4" customFormat="1" ht="44.25" x14ac:dyDescent="0.75">
      <c r="A1" s="4" t="s">
        <v>43</v>
      </c>
      <c r="B1" s="4" t="s">
        <v>44</v>
      </c>
      <c r="C1" s="4" t="s">
        <v>45</v>
      </c>
      <c r="E1" s="4" t="s">
        <v>101</v>
      </c>
      <c r="F1" s="4" t="s">
        <v>93</v>
      </c>
      <c r="G1" s="4" t="s">
        <v>94</v>
      </c>
      <c r="K1" s="4" t="s">
        <v>77</v>
      </c>
      <c r="L1" s="4" t="s">
        <v>19</v>
      </c>
      <c r="M1" s="4" t="s">
        <v>78</v>
      </c>
      <c r="N1" s="6" t="s">
        <v>101</v>
      </c>
    </row>
    <row r="2" spans="1:15" x14ac:dyDescent="0.75">
      <c r="A2" t="s">
        <v>46</v>
      </c>
      <c r="B2" s="2">
        <v>399</v>
      </c>
      <c r="C2" s="2">
        <v>191.63269047511</v>
      </c>
      <c r="F2" s="2">
        <v>5.8027289362861598</v>
      </c>
      <c r="G2" s="2">
        <v>17.372524898959899</v>
      </c>
      <c r="K2" s="2">
        <v>480</v>
      </c>
      <c r="L2" s="5">
        <f>B5</f>
        <v>403</v>
      </c>
      <c r="M2" s="5">
        <f>C5</f>
        <v>195.74645267449569</v>
      </c>
      <c r="N2" s="34">
        <f t="shared" ref="N2:O2" si="0">D5</f>
        <v>4.5122189237339475E-2</v>
      </c>
      <c r="O2" s="5">
        <f t="shared" si="0"/>
        <v>2.9335727177913897</v>
      </c>
    </row>
    <row r="3" spans="1:15" x14ac:dyDescent="0.75">
      <c r="A3" t="s">
        <v>47</v>
      </c>
      <c r="B3" s="2">
        <v>383</v>
      </c>
      <c r="C3" s="2">
        <v>197.338044873575</v>
      </c>
      <c r="F3" s="2">
        <v>5.85112866257756</v>
      </c>
      <c r="G3" s="2">
        <v>17.471398643806001</v>
      </c>
      <c r="K3" s="2">
        <v>690</v>
      </c>
      <c r="L3" s="5">
        <f>B9</f>
        <v>388</v>
      </c>
      <c r="M3" s="5">
        <f>C9</f>
        <v>540.43064630553204</v>
      </c>
      <c r="N3" s="34">
        <f t="shared" ref="N3:O3" si="1">D9</f>
        <v>2.3901078596638411E-2</v>
      </c>
      <c r="O3" s="5">
        <f t="shared" si="1"/>
        <v>6.9579873794011782</v>
      </c>
    </row>
    <row r="4" spans="1:15" x14ac:dyDescent="0.75">
      <c r="A4" t="s">
        <v>48</v>
      </c>
      <c r="B4" s="2">
        <v>427</v>
      </c>
      <c r="C4" s="2">
        <v>198.268622674802</v>
      </c>
      <c r="F4" s="2">
        <v>5.9321277573801696</v>
      </c>
      <c r="G4" s="2">
        <v>17.604134201129799</v>
      </c>
      <c r="K4" s="2">
        <v>730</v>
      </c>
      <c r="L4" s="5">
        <f>B13</f>
        <v>314.33333333333331</v>
      </c>
      <c r="M4" s="5">
        <f>C13</f>
        <v>753.04296438963195</v>
      </c>
      <c r="N4" s="34">
        <f t="shared" ref="N4:O4" si="2">D13</f>
        <v>1.8244592294894224E-2</v>
      </c>
      <c r="O4" s="5">
        <f t="shared" si="2"/>
        <v>6.6837838019205664</v>
      </c>
    </row>
    <row r="5" spans="1:15" x14ac:dyDescent="0.75">
      <c r="B5" s="3">
        <f>AVERAGE(B2:B4)</f>
        <v>403</v>
      </c>
      <c r="C5" s="3">
        <f>AVERAGE(C2:C4)</f>
        <v>195.74645267449569</v>
      </c>
      <c r="D5" s="10">
        <f>_xlfn.STDEV.P(B2:B4)/B5</f>
        <v>4.5122189237339475E-2</v>
      </c>
      <c r="E5" s="2">
        <f>_xlfn.STDEV.P(C2:C4)</f>
        <v>2.9335727177913897</v>
      </c>
      <c r="K5" s="2">
        <v>895</v>
      </c>
      <c r="L5" s="5">
        <f>B17</f>
        <v>299.33333333333331</v>
      </c>
      <c r="M5" s="5">
        <f>C17</f>
        <v>1209.6309583667132</v>
      </c>
      <c r="N5" s="34">
        <f t="shared" ref="N5:O5" si="3">D17</f>
        <v>1.3997555779483894E-2</v>
      </c>
      <c r="O5" s="5">
        <f t="shared" si="3"/>
        <v>28.653866979854897</v>
      </c>
    </row>
    <row r="6" spans="1:15" x14ac:dyDescent="0.75">
      <c r="A6" t="s">
        <v>49</v>
      </c>
      <c r="B6" s="2">
        <v>380</v>
      </c>
      <c r="C6" s="2">
        <v>531.20579589738702</v>
      </c>
      <c r="F6" s="2">
        <v>6.0668474455761299</v>
      </c>
      <c r="G6" s="2">
        <v>17.8443438640595</v>
      </c>
      <c r="K6" s="2">
        <v>990</v>
      </c>
      <c r="L6" s="5">
        <f>B21</f>
        <v>142</v>
      </c>
      <c r="M6" s="5">
        <f>C21</f>
        <v>1915.90278310336</v>
      </c>
      <c r="N6" s="34">
        <f t="shared" ref="N6:O6" si="4">D21</f>
        <v>4.0249831454183677E-2</v>
      </c>
      <c r="O6" s="5">
        <f t="shared" si="4"/>
        <v>4.1483264852826043</v>
      </c>
    </row>
    <row r="7" spans="1:15" x14ac:dyDescent="0.75">
      <c r="A7" t="s">
        <v>50</v>
      </c>
      <c r="B7" s="2">
        <v>383</v>
      </c>
      <c r="C7" s="2">
        <v>542.07710054407403</v>
      </c>
      <c r="F7" s="2">
        <v>6.1809412054169597</v>
      </c>
      <c r="G7" s="2">
        <v>18.057712165121</v>
      </c>
      <c r="K7" s="2">
        <v>1050</v>
      </c>
      <c r="L7" s="5">
        <f>B25</f>
        <v>305.33333333333331</v>
      </c>
      <c r="M7" s="5">
        <f>C25</f>
        <v>1722.48288439106</v>
      </c>
      <c r="N7" s="34">
        <f t="shared" ref="N7:O7" si="5">D25</f>
        <v>3.1903142349787028E-2</v>
      </c>
      <c r="O7" s="5">
        <f t="shared" si="5"/>
        <v>12.578607704620834</v>
      </c>
    </row>
    <row r="8" spans="1:15" x14ac:dyDescent="0.75">
      <c r="A8" t="s">
        <v>51</v>
      </c>
      <c r="B8" s="2">
        <v>401</v>
      </c>
      <c r="C8" s="2">
        <v>548.00904247513495</v>
      </c>
      <c r="F8" s="2">
        <v>6.1992642812072001</v>
      </c>
      <c r="G8" s="2">
        <v>18.067677111845502</v>
      </c>
      <c r="K8" s="2">
        <v>1570</v>
      </c>
      <c r="L8" s="5">
        <f>B29</f>
        <v>161.33333333333334</v>
      </c>
      <c r="M8" s="5">
        <f>C29</f>
        <v>6132.4400193965166</v>
      </c>
      <c r="N8" s="34">
        <f t="shared" ref="N8:O8" si="6">D29</f>
        <v>1.9160368792346495E-2</v>
      </c>
      <c r="O8" s="5">
        <f t="shared" si="6"/>
        <v>29.995072158569489</v>
      </c>
    </row>
    <row r="9" spans="1:15" x14ac:dyDescent="0.75">
      <c r="B9" s="3">
        <f>AVERAGE(B6:B8)</f>
        <v>388</v>
      </c>
      <c r="C9" s="3">
        <f>AVERAGE(C6:C8)</f>
        <v>540.43064630553204</v>
      </c>
      <c r="D9" s="10">
        <f>_xlfn.STDEV.P(B6:B8)/B9</f>
        <v>2.3901078596638411E-2</v>
      </c>
      <c r="E9" s="2">
        <f>_xlfn.STDEV.P(C6:C8)</f>
        <v>6.9579873794011782</v>
      </c>
      <c r="K9" s="2">
        <v>2060</v>
      </c>
      <c r="L9" s="5">
        <f>B33</f>
        <v>154.66666666666666</v>
      </c>
      <c r="M9" s="5">
        <f>C33</f>
        <v>10732.123150378766</v>
      </c>
      <c r="N9" s="34">
        <f t="shared" ref="N9:O9" si="7">D33</f>
        <v>4.7609314729255434E-2</v>
      </c>
      <c r="O9" s="5">
        <f t="shared" si="7"/>
        <v>269.48408372722059</v>
      </c>
    </row>
    <row r="10" spans="1:15" x14ac:dyDescent="0.75">
      <c r="A10" t="s">
        <v>52</v>
      </c>
      <c r="B10" s="2">
        <v>321</v>
      </c>
      <c r="C10" s="2">
        <v>747.885943109648</v>
      </c>
      <c r="F10" s="2">
        <v>6.0376315979899502</v>
      </c>
      <c r="G10" s="2">
        <v>17.821421324193999</v>
      </c>
      <c r="K10" s="2">
        <v>3170</v>
      </c>
      <c r="L10" s="5">
        <f>B37</f>
        <v>138.33333333333334</v>
      </c>
      <c r="M10" s="5">
        <f>C37</f>
        <v>27670.062025886731</v>
      </c>
      <c r="N10" s="34">
        <f t="shared" ref="N10:O10" si="8">D37</f>
        <v>4.4300665809277669E-2</v>
      </c>
      <c r="O10" s="5">
        <f t="shared" si="8"/>
        <v>710.23020859495182</v>
      </c>
    </row>
    <row r="11" spans="1:15" x14ac:dyDescent="0.75">
      <c r="A11" t="s">
        <v>53</v>
      </c>
      <c r="B11" s="2">
        <v>307</v>
      </c>
      <c r="C11" s="2">
        <v>748.76120553750002</v>
      </c>
      <c r="F11" s="2">
        <v>6.2160614638541398</v>
      </c>
      <c r="G11" s="2">
        <v>18.119641141350701</v>
      </c>
    </row>
    <row r="12" spans="1:15" x14ac:dyDescent="0.75">
      <c r="A12" t="s">
        <v>54</v>
      </c>
      <c r="B12" s="2">
        <v>315</v>
      </c>
      <c r="C12" s="2">
        <v>762.48174452174806</v>
      </c>
      <c r="F12" s="2">
        <v>6.2323544673460898</v>
      </c>
      <c r="G12" s="2">
        <v>18.1240427152126</v>
      </c>
    </row>
    <row r="13" spans="1:15" x14ac:dyDescent="0.75">
      <c r="B13" s="3">
        <f>AVERAGE(B10:B12)</f>
        <v>314.33333333333331</v>
      </c>
      <c r="C13" s="3">
        <f>AVERAGE(C10:C12)</f>
        <v>753.04296438963195</v>
      </c>
      <c r="D13" s="10">
        <f>_xlfn.STDEV.P(B10:B12)/B13</f>
        <v>1.8244592294894224E-2</v>
      </c>
      <c r="E13" s="2">
        <f>_xlfn.STDEV.P(C10:C12)</f>
        <v>6.6837838019205664</v>
      </c>
    </row>
    <row r="14" spans="1:15" x14ac:dyDescent="0.75">
      <c r="A14" t="s">
        <v>55</v>
      </c>
      <c r="B14" s="2">
        <v>298</v>
      </c>
      <c r="C14" s="2">
        <v>1172.3155418190699</v>
      </c>
      <c r="F14" s="2">
        <v>6.0814097640609397</v>
      </c>
      <c r="G14" s="2">
        <v>17.868297801691401</v>
      </c>
    </row>
    <row r="15" spans="1:15" x14ac:dyDescent="0.75">
      <c r="A15" t="s">
        <v>56</v>
      </c>
      <c r="B15" s="2">
        <v>305</v>
      </c>
      <c r="C15" s="2">
        <v>1241.9720838035</v>
      </c>
      <c r="F15" s="2">
        <v>6.1988183623138902</v>
      </c>
      <c r="G15" s="2">
        <v>18.097165758955899</v>
      </c>
    </row>
    <row r="16" spans="1:15" x14ac:dyDescent="0.75">
      <c r="A16" t="s">
        <v>57</v>
      </c>
      <c r="B16" s="2">
        <v>295</v>
      </c>
      <c r="C16" s="2">
        <v>1214.6052494775699</v>
      </c>
      <c r="F16" s="2">
        <v>6.2382230361640501</v>
      </c>
      <c r="G16" s="2">
        <v>18.1407954394919</v>
      </c>
    </row>
    <row r="17" spans="1:7" x14ac:dyDescent="0.75">
      <c r="B17" s="3">
        <f>AVERAGE(B14:B16)</f>
        <v>299.33333333333331</v>
      </c>
      <c r="C17" s="3">
        <f>AVERAGE(C14:C16)</f>
        <v>1209.6309583667132</v>
      </c>
      <c r="D17" s="10">
        <f>_xlfn.STDEV.P(B14:B16)/B17</f>
        <v>1.3997555779483894E-2</v>
      </c>
      <c r="E17" s="2">
        <f>_xlfn.STDEV.P(C14:C16)</f>
        <v>28.653866979854897</v>
      </c>
    </row>
    <row r="18" spans="1:7" x14ac:dyDescent="0.75">
      <c r="A18" t="s">
        <v>58</v>
      </c>
      <c r="B18" s="2">
        <v>145</v>
      </c>
      <c r="C18" s="2">
        <v>1921.7666154588401</v>
      </c>
      <c r="F18" s="2">
        <v>5.8253846702763399</v>
      </c>
      <c r="G18" s="2">
        <v>17.342050389129401</v>
      </c>
    </row>
    <row r="19" spans="1:7" x14ac:dyDescent="0.75">
      <c r="A19" t="s">
        <v>59</v>
      </c>
      <c r="B19" s="2">
        <v>147</v>
      </c>
      <c r="C19" s="2">
        <v>1913.1274604212199</v>
      </c>
      <c r="F19" s="2">
        <v>5.9154798874957999</v>
      </c>
      <c r="G19" s="2">
        <v>17.5349361158856</v>
      </c>
    </row>
    <row r="20" spans="1:7" x14ac:dyDescent="0.75">
      <c r="A20" t="s">
        <v>60</v>
      </c>
      <c r="B20" s="2">
        <v>134</v>
      </c>
      <c r="C20" s="2">
        <v>1912.81427343002</v>
      </c>
      <c r="F20" s="2">
        <v>5.9176137525579504</v>
      </c>
      <c r="G20" s="2">
        <v>17.539730916527201</v>
      </c>
    </row>
    <row r="21" spans="1:7" x14ac:dyDescent="0.75">
      <c r="B21" s="3">
        <f>AVERAGE(B18:B20)</f>
        <v>142</v>
      </c>
      <c r="C21" s="3">
        <f>AVERAGE(C18:C20)</f>
        <v>1915.90278310336</v>
      </c>
      <c r="D21" s="10">
        <f>_xlfn.STDEV.P(B18:B20)/B21</f>
        <v>4.0249831454183677E-2</v>
      </c>
      <c r="E21" s="2">
        <f>_xlfn.STDEV.P(C18:C20)</f>
        <v>4.1483264852826043</v>
      </c>
    </row>
    <row r="22" spans="1:7" x14ac:dyDescent="0.75">
      <c r="A22" t="s">
        <v>61</v>
      </c>
      <c r="B22" s="2">
        <v>297</v>
      </c>
      <c r="C22" s="2">
        <v>1709.4285163838999</v>
      </c>
      <c r="F22" s="2">
        <v>5.5454272731167098</v>
      </c>
      <c r="G22" s="2">
        <v>16.894486669659301</v>
      </c>
    </row>
    <row r="23" spans="1:7" x14ac:dyDescent="0.75">
      <c r="A23" t="s">
        <v>62</v>
      </c>
      <c r="B23" s="2">
        <v>319</v>
      </c>
      <c r="C23" s="2">
        <v>1739.47523273307</v>
      </c>
      <c r="F23" s="2">
        <v>5.7044108478775097</v>
      </c>
      <c r="G23" s="2">
        <v>17.173517096243099</v>
      </c>
    </row>
    <row r="24" spans="1:7" x14ac:dyDescent="0.75">
      <c r="A24" t="s">
        <v>63</v>
      </c>
      <c r="B24" s="2">
        <v>300</v>
      </c>
      <c r="C24" s="2">
        <v>1718.54490405621</v>
      </c>
      <c r="F24" s="2">
        <v>5.7263798768348204</v>
      </c>
      <c r="G24" s="2">
        <v>17.264216127630899</v>
      </c>
    </row>
    <row r="25" spans="1:7" x14ac:dyDescent="0.75">
      <c r="B25" s="3">
        <f>AVERAGE(B22:B24)</f>
        <v>305.33333333333331</v>
      </c>
      <c r="C25" s="3">
        <f>AVERAGE(C22:C24)</f>
        <v>1722.48288439106</v>
      </c>
      <c r="D25" s="10">
        <f>_xlfn.STDEV.P(B22:B24)/B25</f>
        <v>3.1903142349787028E-2</v>
      </c>
      <c r="E25" s="2">
        <f>_xlfn.STDEV.P(C22:C24)</f>
        <v>12.578607704620834</v>
      </c>
    </row>
    <row r="26" spans="1:7" x14ac:dyDescent="0.75">
      <c r="A26" t="s">
        <v>64</v>
      </c>
      <c r="B26" s="2">
        <v>157</v>
      </c>
      <c r="C26" s="2">
        <v>6122.9142854028296</v>
      </c>
      <c r="D26" s="2"/>
      <c r="E26" s="2"/>
      <c r="F26" s="2">
        <v>5.4932135102395199</v>
      </c>
      <c r="G26" s="2">
        <v>16.741120256646202</v>
      </c>
    </row>
    <row r="27" spans="1:7" x14ac:dyDescent="0.75">
      <c r="A27" t="s">
        <v>65</v>
      </c>
      <c r="B27" s="2">
        <v>163</v>
      </c>
      <c r="C27" s="2">
        <v>6101.4048162692898</v>
      </c>
      <c r="D27" s="2"/>
      <c r="E27" s="2"/>
      <c r="F27" s="2">
        <v>5.5682944897131303</v>
      </c>
      <c r="G27" s="2">
        <v>16.878959192124199</v>
      </c>
    </row>
    <row r="28" spans="1:7" x14ac:dyDescent="0.75">
      <c r="A28" t="s">
        <v>66</v>
      </c>
      <c r="B28" s="2">
        <v>164</v>
      </c>
      <c r="C28" s="2">
        <v>6173.0009565174296</v>
      </c>
      <c r="D28" s="2"/>
      <c r="E28" s="2"/>
      <c r="F28" s="2">
        <v>5.5514429050862901</v>
      </c>
      <c r="G28" s="2">
        <v>16.8446985546646</v>
      </c>
    </row>
    <row r="29" spans="1:7" x14ac:dyDescent="0.75">
      <c r="B29" s="3">
        <f>AVERAGE(B26:B28)</f>
        <v>161.33333333333334</v>
      </c>
      <c r="C29" s="3">
        <f>AVERAGE(C26:C28)</f>
        <v>6132.4400193965166</v>
      </c>
      <c r="D29" s="10">
        <f>_xlfn.STDEV.P(B26:B28)/B29</f>
        <v>1.9160368792346495E-2</v>
      </c>
      <c r="E29" s="2">
        <f>_xlfn.STDEV.P(C26:C28)</f>
        <v>29.995072158569489</v>
      </c>
    </row>
    <row r="30" spans="1:7" x14ac:dyDescent="0.75">
      <c r="A30" t="s">
        <v>67</v>
      </c>
      <c r="B30" s="2">
        <v>154</v>
      </c>
      <c r="C30" s="2">
        <v>10413.6602834441</v>
      </c>
      <c r="F30" s="2">
        <v>5.3741475890037096</v>
      </c>
      <c r="G30" s="2">
        <v>16.513680837566199</v>
      </c>
    </row>
    <row r="31" spans="1:7" x14ac:dyDescent="0.75">
      <c r="A31" t="s">
        <v>68</v>
      </c>
      <c r="B31" s="2">
        <v>146</v>
      </c>
      <c r="C31" s="2">
        <v>11072.6514642971</v>
      </c>
      <c r="F31" s="2">
        <v>5.4650633338420702</v>
      </c>
      <c r="G31" s="2">
        <v>16.686988572896201</v>
      </c>
    </row>
    <row r="32" spans="1:7" x14ac:dyDescent="0.75">
      <c r="A32" t="s">
        <v>69</v>
      </c>
      <c r="B32" s="2">
        <v>164</v>
      </c>
      <c r="C32" s="2">
        <v>10710.057703395099</v>
      </c>
      <c r="F32" s="2">
        <v>5.4874026034831198</v>
      </c>
      <c r="G32" s="2">
        <v>16.749927526721201</v>
      </c>
    </row>
    <row r="33" spans="1:7" x14ac:dyDescent="0.75">
      <c r="B33" s="3">
        <f>AVERAGE(B30:B32)</f>
        <v>154.66666666666666</v>
      </c>
      <c r="C33" s="3">
        <f>AVERAGE(C30:C32)</f>
        <v>10732.123150378766</v>
      </c>
      <c r="D33" s="10">
        <f>_xlfn.STDEV.P(B30:B32)/B33</f>
        <v>4.7609314729255434E-2</v>
      </c>
      <c r="E33" s="2">
        <f>_xlfn.STDEV.P(C30:C32)</f>
        <v>269.48408372722059</v>
      </c>
    </row>
    <row r="34" spans="1:7" x14ac:dyDescent="0.75">
      <c r="A34" t="s">
        <v>70</v>
      </c>
      <c r="B34" s="2">
        <v>131</v>
      </c>
      <c r="C34" s="2">
        <v>27957.096085914502</v>
      </c>
      <c r="F34" s="2">
        <v>5.3523501603534802</v>
      </c>
      <c r="G34" s="2">
        <v>16.579265569833399</v>
      </c>
    </row>
    <row r="35" spans="1:7" x14ac:dyDescent="0.75">
      <c r="A35" t="s">
        <v>71</v>
      </c>
      <c r="B35" s="2">
        <v>138</v>
      </c>
      <c r="C35" s="2">
        <v>26692.9689584958</v>
      </c>
      <c r="F35" s="2">
        <v>5.3570040467304301</v>
      </c>
      <c r="G35" s="2">
        <v>16.574165315824999</v>
      </c>
    </row>
    <row r="36" spans="1:7" x14ac:dyDescent="0.75">
      <c r="A36" t="s">
        <v>72</v>
      </c>
      <c r="B36" s="2">
        <v>146</v>
      </c>
      <c r="C36" s="2">
        <v>28360.121033249899</v>
      </c>
      <c r="F36" s="2">
        <v>5.3775013040817701</v>
      </c>
      <c r="G36" s="2">
        <v>16.628909203880202</v>
      </c>
    </row>
    <row r="37" spans="1:7" x14ac:dyDescent="0.75">
      <c r="B37" s="3">
        <f>AVERAGE(B34:B36)</f>
        <v>138.33333333333334</v>
      </c>
      <c r="C37" s="3">
        <f>AVERAGE(C34:C36)</f>
        <v>27670.062025886731</v>
      </c>
      <c r="D37" s="10">
        <f>_xlfn.STDEV.P(B34:B36)/B37</f>
        <v>4.4300665809277669E-2</v>
      </c>
      <c r="E37" s="2">
        <f>_xlfn.STDEV.P(C34:C36)</f>
        <v>710.23020859495182</v>
      </c>
    </row>
    <row r="40" spans="1:7" x14ac:dyDescent="0.75">
      <c r="A40" t="s">
        <v>73</v>
      </c>
      <c r="B40">
        <v>669</v>
      </c>
      <c r="C40">
        <v>136.792765070412</v>
      </c>
      <c r="D40">
        <v>1.48340853718125E-2</v>
      </c>
      <c r="E40">
        <v>3.2355932248157102</v>
      </c>
    </row>
    <row r="41" spans="1:7" x14ac:dyDescent="0.75">
      <c r="A41" t="s">
        <v>74</v>
      </c>
      <c r="B41">
        <v>749</v>
      </c>
      <c r="C41">
        <v>356.05524512407101</v>
      </c>
      <c r="D41">
        <v>4.5195293735580497E-2</v>
      </c>
      <c r="E41">
        <v>3.5735248152007801</v>
      </c>
    </row>
    <row r="42" spans="1:7" x14ac:dyDescent="0.75">
      <c r="A42" t="s">
        <v>75</v>
      </c>
      <c r="B42">
        <v>780</v>
      </c>
      <c r="C42">
        <v>361.04663685538901</v>
      </c>
      <c r="D42">
        <v>2.7464121310587598E-2</v>
      </c>
      <c r="E42">
        <v>3.39490026635016</v>
      </c>
    </row>
    <row r="43" spans="1:7" x14ac:dyDescent="0.75">
      <c r="A43" t="s">
        <v>76</v>
      </c>
      <c r="B43">
        <v>763</v>
      </c>
      <c r="C43">
        <v>372.69751627692699</v>
      </c>
      <c r="D43">
        <v>2.9446104592726001E-2</v>
      </c>
      <c r="E43">
        <v>3.4153943337170598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7"/>
  <sheetViews>
    <sheetView workbookViewId="0">
      <selection activeCell="I2" sqref="I2"/>
    </sheetView>
  </sheetViews>
  <sheetFormatPr defaultRowHeight="14.75" x14ac:dyDescent="0.75"/>
  <cols>
    <col min="1" max="1" width="8.7265625" bestFit="1" customWidth="1"/>
    <col min="2" max="2" width="10.26953125" bestFit="1" customWidth="1"/>
    <col min="3" max="3" width="11.54296875" bestFit="1" customWidth="1"/>
    <col min="4" max="4" width="12.54296875" bestFit="1" customWidth="1"/>
    <col min="5" max="5" width="10.40625" bestFit="1" customWidth="1"/>
    <col min="6" max="6" width="15.26953125" style="10" bestFit="1" customWidth="1"/>
    <col min="7" max="7" width="18" bestFit="1" customWidth="1"/>
    <col min="8" max="9" width="12.7265625" style="10" bestFit="1" customWidth="1"/>
    <col min="10" max="10" width="15.26953125" style="2" bestFit="1" customWidth="1"/>
    <col min="12" max="12" width="15.1328125" customWidth="1"/>
  </cols>
  <sheetData>
    <row r="1" spans="1:15" ht="29.5" x14ac:dyDescent="0.75">
      <c r="A1" s="6" t="s">
        <v>24</v>
      </c>
      <c r="B1" s="6" t="s">
        <v>23</v>
      </c>
      <c r="C1" s="6" t="s">
        <v>29</v>
      </c>
      <c r="D1" s="6" t="s">
        <v>26</v>
      </c>
      <c r="E1" s="6" t="s">
        <v>27</v>
      </c>
      <c r="F1" s="36" t="s">
        <v>28</v>
      </c>
      <c r="G1" s="6" t="s">
        <v>30</v>
      </c>
      <c r="H1" s="36"/>
      <c r="I1" s="36" t="s">
        <v>91</v>
      </c>
      <c r="J1" s="35" t="s">
        <v>95</v>
      </c>
      <c r="L1" s="4"/>
      <c r="M1" s="6" t="s">
        <v>32</v>
      </c>
      <c r="N1">
        <v>19.3</v>
      </c>
      <c r="O1" s="6" t="s">
        <v>33</v>
      </c>
    </row>
    <row r="2" spans="1:15" x14ac:dyDescent="0.75">
      <c r="A2" t="s">
        <v>2</v>
      </c>
      <c r="B2" t="s">
        <v>6</v>
      </c>
      <c r="C2">
        <v>60</v>
      </c>
      <c r="D2" s="2">
        <f t="shared" ref="D2:D27" si="0">($N$1*(4/3)*(3.1415)*((C2/2/10000000)^3))*1000000000000000</f>
        <v>2.1827142000000004</v>
      </c>
      <c r="E2" s="5">
        <f>'Au Matlab stats'!D105</f>
        <v>654.25</v>
      </c>
      <c r="F2" s="2">
        <f>'Au Matlab stats'!E105</f>
        <v>129.72236275053774</v>
      </c>
      <c r="G2" s="2">
        <f t="shared" ref="G2:G27" si="1">F2*10000</f>
        <v>1297223.6275053774</v>
      </c>
      <c r="I2" s="37">
        <f>'Au Matlab stats'!H105</f>
        <v>3.5753976681930651E-2</v>
      </c>
      <c r="J2" s="2">
        <f>'Au Matlab stats'!I105</f>
        <v>2.225668701257403</v>
      </c>
    </row>
    <row r="3" spans="1:15" x14ac:dyDescent="0.75">
      <c r="A3" t="s">
        <v>4</v>
      </c>
      <c r="B3" t="s">
        <v>6</v>
      </c>
      <c r="C3">
        <v>60</v>
      </c>
      <c r="D3" s="2">
        <f t="shared" si="0"/>
        <v>2.1827142000000004</v>
      </c>
      <c r="E3" s="5">
        <f>'Au Matlab stats'!D100</f>
        <v>584.33333333333337</v>
      </c>
      <c r="F3" s="2">
        <f>'Au Matlab stats'!E100</f>
        <v>129.77946310721666</v>
      </c>
      <c r="G3" s="2">
        <f t="shared" si="1"/>
        <v>1297794.6310721666</v>
      </c>
      <c r="I3" s="37">
        <f>'Au Matlab stats'!H100</f>
        <v>8.5377236435229681E-3</v>
      </c>
      <c r="J3" s="2">
        <f>'Au Matlab stats'!I100</f>
        <v>1.6248989498199058</v>
      </c>
    </row>
    <row r="4" spans="1:15" x14ac:dyDescent="0.75">
      <c r="A4" t="s">
        <v>2</v>
      </c>
      <c r="B4" t="s">
        <v>3</v>
      </c>
      <c r="C4">
        <v>60</v>
      </c>
      <c r="D4" s="2">
        <f t="shared" si="0"/>
        <v>2.1827142000000004</v>
      </c>
      <c r="E4" s="5">
        <f>'Au Matlab stats'!D92</f>
        <v>71</v>
      </c>
      <c r="F4" s="2">
        <f>'Au Matlab stats'!E92</f>
        <v>17.540753739604149</v>
      </c>
      <c r="G4" s="2">
        <f t="shared" si="1"/>
        <v>175407.5373960415</v>
      </c>
      <c r="I4" s="37">
        <f>'Au Matlab stats'!H92</f>
        <v>4.2253521126760563E-2</v>
      </c>
      <c r="J4" s="2">
        <f>'Au Matlab stats'!I92</f>
        <v>37.399287420504606</v>
      </c>
    </row>
    <row r="5" spans="1:15" x14ac:dyDescent="0.75">
      <c r="A5" t="s">
        <v>4</v>
      </c>
      <c r="B5" t="s">
        <v>3</v>
      </c>
      <c r="C5">
        <v>60</v>
      </c>
      <c r="D5" s="2">
        <f t="shared" si="0"/>
        <v>2.1827142000000004</v>
      </c>
      <c r="E5" s="5">
        <f>'Au Matlab stats'!D96</f>
        <v>61</v>
      </c>
      <c r="F5" s="2">
        <f>'Au Matlab stats'!E96</f>
        <v>17.264037855388601</v>
      </c>
      <c r="G5" s="2">
        <f t="shared" si="1"/>
        <v>172640.378553886</v>
      </c>
      <c r="I5" s="37">
        <f>'Au Matlab stats'!H96</f>
        <v>3.541388359785716E-2</v>
      </c>
      <c r="J5" s="2">
        <f>'Au Matlab stats'!I96</f>
        <v>0.44876036871843039</v>
      </c>
    </row>
    <row r="6" spans="1:15" x14ac:dyDescent="0.75">
      <c r="A6" t="s">
        <v>2</v>
      </c>
      <c r="B6" t="s">
        <v>6</v>
      </c>
      <c r="C6">
        <v>80</v>
      </c>
      <c r="D6" s="2">
        <f t="shared" si="0"/>
        <v>5.1738410666666663</v>
      </c>
      <c r="E6" s="5">
        <f>'Au Matlab stats'!D120</f>
        <v>747</v>
      </c>
      <c r="F6" s="2">
        <f>'Au Matlab stats'!E120</f>
        <v>339.13740668602003</v>
      </c>
      <c r="G6" s="2">
        <f t="shared" si="1"/>
        <v>3391374.0668602004</v>
      </c>
      <c r="I6" s="37">
        <f>'Au Matlab stats'!H120</f>
        <v>0</v>
      </c>
      <c r="J6" s="2">
        <f>'Au Matlab stats'!I120</f>
        <v>0</v>
      </c>
    </row>
    <row r="7" spans="1:15" x14ac:dyDescent="0.75">
      <c r="A7" t="s">
        <v>4</v>
      </c>
      <c r="B7" t="s">
        <v>6</v>
      </c>
      <c r="C7">
        <v>80</v>
      </c>
      <c r="D7" s="2">
        <f t="shared" si="0"/>
        <v>5.1738410666666663</v>
      </c>
      <c r="E7" s="5">
        <f>'Au Matlab stats'!D124</f>
        <v>731.33333333333337</v>
      </c>
      <c r="F7" s="2">
        <f>'Au Matlab stats'!E124</f>
        <v>260.60865095244168</v>
      </c>
      <c r="G7" s="2">
        <f t="shared" si="1"/>
        <v>2606086.5095244166</v>
      </c>
      <c r="I7" s="37">
        <f>'Au Matlab stats'!H124</f>
        <v>0</v>
      </c>
      <c r="J7" s="2">
        <f>'Au Matlab stats'!I124</f>
        <v>0</v>
      </c>
    </row>
    <row r="8" spans="1:15" x14ac:dyDescent="0.75">
      <c r="A8" t="s">
        <v>2</v>
      </c>
      <c r="B8" t="s">
        <v>3</v>
      </c>
      <c r="C8">
        <v>80</v>
      </c>
      <c r="D8" s="2">
        <f t="shared" si="0"/>
        <v>5.1738410666666663</v>
      </c>
      <c r="E8" s="5">
        <f>'Au Matlab stats'!D112</f>
        <v>446.66666666666669</v>
      </c>
      <c r="F8" s="2">
        <f>'Au Matlab stats'!E112</f>
        <v>28.09602897510543</v>
      </c>
      <c r="G8" s="2">
        <f t="shared" si="1"/>
        <v>280960.28975105431</v>
      </c>
      <c r="I8" s="37">
        <f>'Au Matlab stats'!H112</f>
        <v>0</v>
      </c>
      <c r="J8" s="2">
        <f>'Au Matlab stats'!I112</f>
        <v>0</v>
      </c>
    </row>
    <row r="9" spans="1:15" x14ac:dyDescent="0.75">
      <c r="A9" t="s">
        <v>4</v>
      </c>
      <c r="B9" t="s">
        <v>3</v>
      </c>
      <c r="C9">
        <v>80</v>
      </c>
      <c r="D9" s="2">
        <f t="shared" si="0"/>
        <v>5.1738410666666663</v>
      </c>
      <c r="E9" s="5">
        <f>'Au Matlab stats'!D116</f>
        <v>480.33333333333331</v>
      </c>
      <c r="F9" s="2">
        <f>'Au Matlab stats'!E116</f>
        <v>27.866598156820999</v>
      </c>
      <c r="G9" s="2">
        <f t="shared" si="1"/>
        <v>278665.98156821</v>
      </c>
      <c r="I9" s="37">
        <f>'Au Matlab stats'!H116</f>
        <v>0</v>
      </c>
      <c r="J9" s="2">
        <f>'Au Matlab stats'!I116</f>
        <v>0</v>
      </c>
    </row>
    <row r="10" spans="1:15" x14ac:dyDescent="0.75">
      <c r="A10" t="s">
        <v>2</v>
      </c>
      <c r="B10" t="s">
        <v>6</v>
      </c>
      <c r="C10">
        <v>100</v>
      </c>
      <c r="D10" s="2">
        <f t="shared" si="0"/>
        <v>10.105158333333335</v>
      </c>
      <c r="E10" s="5">
        <f>'Au Matlab stats'!D17</f>
        <v>145.33333333333334</v>
      </c>
      <c r="F10" s="2">
        <f>'Au Matlab stats'!E17</f>
        <v>924.36498673422273</v>
      </c>
      <c r="G10" s="2">
        <f t="shared" si="1"/>
        <v>9243649.8673422281</v>
      </c>
      <c r="I10" s="37">
        <f>'Au Matlab stats'!H17</f>
        <v>3.8241587157185931E-2</v>
      </c>
      <c r="J10" s="2">
        <f>'Au Matlab stats'!I17</f>
        <v>16.043599483355223</v>
      </c>
    </row>
    <row r="11" spans="1:15" x14ac:dyDescent="0.75">
      <c r="A11" t="s">
        <v>4</v>
      </c>
      <c r="B11" t="s">
        <v>6</v>
      </c>
      <c r="C11">
        <v>100</v>
      </c>
      <c r="D11" s="2">
        <f t="shared" si="0"/>
        <v>10.105158333333335</v>
      </c>
      <c r="E11" s="5">
        <f>'Au Matlab stats'!D13</f>
        <v>145</v>
      </c>
      <c r="F11" s="2">
        <f>'Au Matlab stats'!E13</f>
        <v>207.94318383740764</v>
      </c>
      <c r="G11" s="2">
        <f t="shared" si="1"/>
        <v>2079431.8383740764</v>
      </c>
      <c r="I11" s="37">
        <f>'Au Matlab stats'!H13</f>
        <v>7.3850015651535678E-2</v>
      </c>
      <c r="J11" s="2">
        <f>'Au Matlab stats'!I13</f>
        <v>12.670527388233024</v>
      </c>
    </row>
    <row r="12" spans="1:15" x14ac:dyDescent="0.75">
      <c r="A12" t="s">
        <v>2</v>
      </c>
      <c r="B12" t="s">
        <v>3</v>
      </c>
      <c r="C12">
        <v>100</v>
      </c>
      <c r="D12" s="2">
        <f t="shared" si="0"/>
        <v>10.105158333333335</v>
      </c>
      <c r="E12" s="5">
        <f>'Au Matlab stats'!D5</f>
        <v>142.66666666666666</v>
      </c>
      <c r="F12" s="2">
        <f>'Au Matlab stats'!E5</f>
        <v>73.077125231282494</v>
      </c>
      <c r="G12" s="2">
        <f t="shared" si="1"/>
        <v>730771.25231282494</v>
      </c>
      <c r="I12" s="37">
        <f>'Au Matlab stats'!H5</f>
        <v>4.140197464175082E-2</v>
      </c>
      <c r="J12" s="2">
        <f>'Au Matlab stats'!I5</f>
        <v>3.8802134480713826</v>
      </c>
    </row>
    <row r="13" spans="1:15" x14ac:dyDescent="0.75">
      <c r="A13" t="s">
        <v>4</v>
      </c>
      <c r="B13" t="s">
        <v>3</v>
      </c>
      <c r="C13">
        <v>100</v>
      </c>
      <c r="D13" s="2">
        <f t="shared" si="0"/>
        <v>10.105158333333335</v>
      </c>
      <c r="E13" s="5">
        <f>'Au Matlab stats'!D9</f>
        <v>153</v>
      </c>
      <c r="F13" s="2">
        <f>'Au Matlab stats'!E9</f>
        <v>66.836405464133108</v>
      </c>
      <c r="G13" s="2">
        <f t="shared" si="1"/>
        <v>668364.05464133108</v>
      </c>
      <c r="I13" s="37">
        <f>'Au Matlab stats'!H9</f>
        <v>7.3365831113214541E-2</v>
      </c>
      <c r="J13" s="2">
        <f>'Au Matlab stats'!I9</f>
        <v>4.680252078572261</v>
      </c>
    </row>
    <row r="14" spans="1:15" x14ac:dyDescent="0.75">
      <c r="A14" t="s">
        <v>2</v>
      </c>
      <c r="B14" t="s">
        <v>6</v>
      </c>
      <c r="C14">
        <v>150</v>
      </c>
      <c r="D14" s="2">
        <f t="shared" si="0"/>
        <v>34.104909374999998</v>
      </c>
      <c r="E14" s="2">
        <f>'Au Matlab stats'!D35</f>
        <v>655.33333333333337</v>
      </c>
      <c r="F14" s="2">
        <f>'Au Matlab stats'!E35</f>
        <v>2654.6178504106001</v>
      </c>
      <c r="G14" s="2">
        <f t="shared" si="1"/>
        <v>26546178.504106</v>
      </c>
      <c r="I14" s="37">
        <f>'Au Matlab stats'!H35</f>
        <v>6.3043507391304945E-2</v>
      </c>
      <c r="J14" s="2">
        <f>'Au Matlab stats'!I35</f>
        <v>43.071035762076804</v>
      </c>
    </row>
    <row r="15" spans="1:15" x14ac:dyDescent="0.75">
      <c r="A15" t="s">
        <v>4</v>
      </c>
      <c r="B15" t="s">
        <v>6</v>
      </c>
      <c r="C15">
        <v>150</v>
      </c>
      <c r="D15" s="2">
        <f t="shared" si="0"/>
        <v>34.104909374999998</v>
      </c>
      <c r="E15" s="2">
        <f>'Au Matlab stats'!D43</f>
        <v>645</v>
      </c>
      <c r="F15" s="2">
        <f>'Au Matlab stats'!E43</f>
        <v>2478.7479029712235</v>
      </c>
      <c r="G15" s="2">
        <f t="shared" si="1"/>
        <v>24787479.029712234</v>
      </c>
      <c r="I15" s="37">
        <f>'Au Matlab stats'!H43</f>
        <v>1.1602038408601368E-2</v>
      </c>
      <c r="J15" s="2">
        <f>'Au Matlab stats'!I43</f>
        <v>43.229919122834971</v>
      </c>
    </row>
    <row r="16" spans="1:15" x14ac:dyDescent="0.75">
      <c r="A16" t="s">
        <v>2</v>
      </c>
      <c r="B16" t="s">
        <v>3</v>
      </c>
      <c r="C16">
        <v>150</v>
      </c>
      <c r="D16" s="2">
        <f t="shared" si="0"/>
        <v>34.104909374999998</v>
      </c>
      <c r="E16" s="2">
        <f>'Au Matlab stats'!D39</f>
        <v>618.33333333333337</v>
      </c>
      <c r="F16" s="2">
        <f>'Au Matlab stats'!E39</f>
        <v>186.563626583618</v>
      </c>
      <c r="G16" s="2">
        <f t="shared" si="1"/>
        <v>1865636.26583618</v>
      </c>
      <c r="I16" s="37">
        <f>'Au Matlab stats'!H39</f>
        <v>3.920142094382284E-2</v>
      </c>
      <c r="J16" s="2">
        <f>'Au Matlab stats'!I39</f>
        <v>14.93851492527461</v>
      </c>
    </row>
    <row r="17" spans="1:12" x14ac:dyDescent="0.75">
      <c r="A17" t="s">
        <v>4</v>
      </c>
      <c r="B17" t="s">
        <v>3</v>
      </c>
      <c r="C17">
        <v>150</v>
      </c>
      <c r="D17" s="2">
        <f t="shared" si="0"/>
        <v>34.104909374999998</v>
      </c>
      <c r="E17" s="2">
        <f>'Au Matlab stats'!D47</f>
        <v>567.33333333333337</v>
      </c>
      <c r="F17" s="2">
        <f>'Au Matlab stats'!E47</f>
        <v>188.46875510104499</v>
      </c>
      <c r="G17" s="2">
        <f t="shared" si="1"/>
        <v>1884687.5510104499</v>
      </c>
      <c r="I17" s="37">
        <f>'Au Matlab stats'!H47</f>
        <v>2.5838582170735629E-2</v>
      </c>
      <c r="J17" s="2">
        <f>'Au Matlab stats'!I47</f>
        <v>4.6253398748227221</v>
      </c>
    </row>
    <row r="18" spans="1:12" x14ac:dyDescent="0.75">
      <c r="A18" t="s">
        <v>2</v>
      </c>
      <c r="B18" t="s">
        <v>6</v>
      </c>
      <c r="C18">
        <v>200</v>
      </c>
      <c r="D18" s="2">
        <f t="shared" si="0"/>
        <v>80.841266666666684</v>
      </c>
      <c r="E18" s="5">
        <f>'Au Matlab stats'!D61</f>
        <v>336.66666666666669</v>
      </c>
      <c r="F18" s="2">
        <f>'Au Matlab stats'!E61</f>
        <v>6233.0500582378199</v>
      </c>
      <c r="G18" s="2">
        <f t="shared" si="1"/>
        <v>62330500.582378201</v>
      </c>
      <c r="I18" s="37">
        <f>'Au Matlab stats'!H61</f>
        <v>8.5171537297451753E-3</v>
      </c>
      <c r="J18" s="2">
        <f>'Au Matlab stats'!I61</f>
        <v>221.03878469702778</v>
      </c>
    </row>
    <row r="19" spans="1:12" x14ac:dyDescent="0.75">
      <c r="A19" t="s">
        <v>4</v>
      </c>
      <c r="B19" t="s">
        <v>6</v>
      </c>
      <c r="C19">
        <v>200</v>
      </c>
      <c r="D19" s="2">
        <f t="shared" si="0"/>
        <v>80.841266666666684</v>
      </c>
      <c r="E19" s="5">
        <f>'Au Matlab stats'!D69</f>
        <v>327.33333333333331</v>
      </c>
      <c r="F19" s="2">
        <f>'Au Matlab stats'!E69</f>
        <v>134.16190868254066</v>
      </c>
      <c r="G19" s="2">
        <f t="shared" si="1"/>
        <v>1341619.0868254066</v>
      </c>
      <c r="I19" s="37">
        <f>'Au Matlab stats'!H69</f>
        <v>3.6175803805156032E-2</v>
      </c>
      <c r="J19" s="2">
        <f>'Au Matlab stats'!I69</f>
        <v>1.187840746220959</v>
      </c>
    </row>
    <row r="20" spans="1:12" x14ac:dyDescent="0.75">
      <c r="A20" t="s">
        <v>2</v>
      </c>
      <c r="B20" t="s">
        <v>3</v>
      </c>
      <c r="C20">
        <v>200</v>
      </c>
      <c r="D20" s="2">
        <f t="shared" si="0"/>
        <v>80.841266666666684</v>
      </c>
      <c r="E20" s="5">
        <f>'Au Matlab stats'!D65</f>
        <v>272.33333333333331</v>
      </c>
      <c r="F20" s="2">
        <f>'Au Matlab stats'!E65</f>
        <v>496.30698360171527</v>
      </c>
      <c r="G20" s="2">
        <f t="shared" si="1"/>
        <v>4963069.8360171523</v>
      </c>
      <c r="I20" s="37">
        <f>'Au Matlab stats'!H65</f>
        <v>3.2888687497048721E-2</v>
      </c>
      <c r="J20" s="2">
        <f>'Au Matlab stats'!I65</f>
        <v>15.873851120696209</v>
      </c>
    </row>
    <row r="21" spans="1:12" x14ac:dyDescent="0.75">
      <c r="A21" t="s">
        <v>4</v>
      </c>
      <c r="B21" t="s">
        <v>3</v>
      </c>
      <c r="C21">
        <v>200</v>
      </c>
      <c r="D21" s="2">
        <f t="shared" si="0"/>
        <v>80.841266666666684</v>
      </c>
      <c r="E21" s="5">
        <f>'Au Matlab stats'!D73</f>
        <v>315</v>
      </c>
      <c r="F21" s="2">
        <f>'Au Matlab stats'!E73</f>
        <v>239.27288979818135</v>
      </c>
      <c r="G21" s="2">
        <f t="shared" si="1"/>
        <v>2392728.8979818136</v>
      </c>
      <c r="I21" s="37">
        <f>'Au Matlab stats'!H73</f>
        <v>8.3872030562685121E-2</v>
      </c>
      <c r="J21" s="2">
        <f>'Au Matlab stats'!I73</f>
        <v>2.6281049748654906</v>
      </c>
    </row>
    <row r="22" spans="1:12" x14ac:dyDescent="0.75">
      <c r="A22" t="s">
        <v>2</v>
      </c>
      <c r="B22" t="s">
        <v>6</v>
      </c>
      <c r="C22">
        <v>500</v>
      </c>
      <c r="D22" s="2">
        <f t="shared" si="0"/>
        <v>1263.1447916666666</v>
      </c>
      <c r="E22" s="5">
        <f>'Au Matlab stats'!D77</f>
        <v>57.5</v>
      </c>
      <c r="F22" s="2">
        <f>'Au Matlab stats'!E77</f>
        <v>151441488.6451835</v>
      </c>
      <c r="G22" s="2">
        <f t="shared" si="1"/>
        <v>1514414886451.835</v>
      </c>
      <c r="I22" s="37">
        <f>'Au Matlab stats'!H77</f>
        <v>6.0869565217391307E-2</v>
      </c>
      <c r="J22" s="2">
        <f>'Au Matlab stats'!I77</f>
        <v>42227477.91213347</v>
      </c>
    </row>
    <row r="23" spans="1:12" x14ac:dyDescent="0.75">
      <c r="A23" t="s">
        <v>4</v>
      </c>
      <c r="B23" t="s">
        <v>6</v>
      </c>
      <c r="C23">
        <v>500</v>
      </c>
      <c r="D23" s="2">
        <f t="shared" si="0"/>
        <v>1263.1447916666666</v>
      </c>
      <c r="E23" s="5">
        <f>'Au Matlab stats'!D85</f>
        <v>67.666666666666671</v>
      </c>
      <c r="F23" s="2">
        <f>'Au Matlab stats'!E85</f>
        <v>147.46992579405</v>
      </c>
      <c r="G23" s="2">
        <f t="shared" si="1"/>
        <v>1474699.2579405</v>
      </c>
      <c r="I23" s="37">
        <f>'Au Matlab stats'!H85</f>
        <v>0.15562136944759916</v>
      </c>
      <c r="J23" s="2">
        <f>'Au Matlab stats'!I85</f>
        <v>4.0234308876442606</v>
      </c>
    </row>
    <row r="24" spans="1:12" x14ac:dyDescent="0.75">
      <c r="A24" t="s">
        <v>2</v>
      </c>
      <c r="B24" t="s">
        <v>3</v>
      </c>
      <c r="C24">
        <v>500</v>
      </c>
      <c r="D24" s="2">
        <f t="shared" si="0"/>
        <v>1263.1447916666666</v>
      </c>
      <c r="E24" s="5">
        <f>'Au Matlab stats'!D81</f>
        <v>70</v>
      </c>
      <c r="F24" s="2">
        <f>'Au Matlab stats'!E81</f>
        <v>10271.573664643751</v>
      </c>
      <c r="G24" s="2">
        <f t="shared" si="1"/>
        <v>102715736.64643751</v>
      </c>
      <c r="I24" s="37">
        <f>'Au Matlab stats'!H81</f>
        <v>7.1428571428571425E-2</v>
      </c>
      <c r="J24" s="2">
        <f>'Au Matlab stats'!I81</f>
        <v>39.210562262550411</v>
      </c>
    </row>
    <row r="25" spans="1:12" x14ac:dyDescent="0.75">
      <c r="A25" t="s">
        <v>4</v>
      </c>
      <c r="B25" t="s">
        <v>3</v>
      </c>
      <c r="C25">
        <v>500</v>
      </c>
      <c r="D25" s="2">
        <f t="shared" si="0"/>
        <v>1263.1447916666666</v>
      </c>
      <c r="E25" s="5">
        <f>'Au Matlab stats'!D89</f>
        <v>49.666666666666664</v>
      </c>
      <c r="F25" s="2">
        <f>'Au Matlab stats'!E89</f>
        <v>96.869439161606167</v>
      </c>
      <c r="G25" s="2">
        <f t="shared" si="1"/>
        <v>968694.39161606168</v>
      </c>
      <c r="I25" s="37">
        <f>'Au Matlab stats'!H89</f>
        <v>0.10440502809465803</v>
      </c>
      <c r="J25" s="2">
        <f>'Au Matlab stats'!I89</f>
        <v>1.2259969237034944</v>
      </c>
    </row>
    <row r="26" spans="1:12" x14ac:dyDescent="0.75">
      <c r="A26" t="s">
        <v>2</v>
      </c>
      <c r="B26" t="s">
        <v>3</v>
      </c>
      <c r="C26">
        <v>1000</v>
      </c>
      <c r="D26" s="2">
        <f t="shared" si="0"/>
        <v>10105.158333333333</v>
      </c>
      <c r="E26" s="5">
        <f>'Au Matlab stats'!D27</f>
        <v>591.75</v>
      </c>
      <c r="F26" s="2">
        <f>'Au Matlab stats'!E27</f>
        <v>24634.734558433076</v>
      </c>
      <c r="G26" s="2">
        <f t="shared" si="1"/>
        <v>246347345.58433077</v>
      </c>
      <c r="I26" s="37">
        <f>'Au Matlab stats'!H27</f>
        <v>0.1045719122175757</v>
      </c>
      <c r="J26" s="2">
        <f>'Au Matlab stats'!I27</f>
        <v>916.50738718136893</v>
      </c>
      <c r="L26" t="s">
        <v>31</v>
      </c>
    </row>
    <row r="27" spans="1:12" x14ac:dyDescent="0.75">
      <c r="A27" t="s">
        <v>2</v>
      </c>
      <c r="B27" t="s">
        <v>3</v>
      </c>
      <c r="C27">
        <v>1500</v>
      </c>
      <c r="D27" s="2">
        <f t="shared" si="0"/>
        <v>34104.909374999988</v>
      </c>
      <c r="E27" s="5">
        <f>'Au Matlab stats'!D57</f>
        <v>332.5</v>
      </c>
      <c r="F27" s="2">
        <f>'Au Matlab stats'!E57</f>
        <v>58311.454744336399</v>
      </c>
      <c r="G27" s="2">
        <f t="shared" si="1"/>
        <v>583114547.44336402</v>
      </c>
      <c r="I27" s="37">
        <f>'Au Matlab stats'!H57</f>
        <v>9.4736842105263161E-2</v>
      </c>
      <c r="J27" s="2">
        <f>'Au Matlab stats'!I57</f>
        <v>957.78611949249898</v>
      </c>
      <c r="L27" t="s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1B68-00C9-4AE2-B1A3-AA58CB591924}">
  <dimension ref="A1:J28"/>
  <sheetViews>
    <sheetView workbookViewId="0">
      <selection activeCell="T9" sqref="T9"/>
    </sheetView>
  </sheetViews>
  <sheetFormatPr defaultRowHeight="14.75" x14ac:dyDescent="0.75"/>
  <cols>
    <col min="1" max="1" width="8.7265625" bestFit="1" customWidth="1"/>
    <col min="2" max="2" width="10.26953125" bestFit="1" customWidth="1"/>
    <col min="4" max="4" width="9" bestFit="1" customWidth="1"/>
    <col min="5" max="5" width="10.40625" bestFit="1" customWidth="1"/>
    <col min="6" max="6" width="12.54296875" bestFit="1" customWidth="1"/>
    <col min="7" max="7" width="18" bestFit="1" customWidth="1"/>
    <col min="9" max="9" width="9.1328125" bestFit="1" customWidth="1"/>
    <col min="10" max="10" width="11.54296875" bestFit="1" customWidth="1"/>
  </cols>
  <sheetData>
    <row r="1" spans="1:10" s="6" customFormat="1" ht="29.5" x14ac:dyDescent="0.75">
      <c r="A1" s="6" t="s">
        <v>24</v>
      </c>
      <c r="B1" s="6" t="s">
        <v>23</v>
      </c>
      <c r="C1" s="6" t="s">
        <v>29</v>
      </c>
      <c r="D1" s="6" t="s">
        <v>26</v>
      </c>
      <c r="E1" s="6" t="s">
        <v>27</v>
      </c>
      <c r="F1" s="6" t="s">
        <v>28</v>
      </c>
      <c r="G1" s="6" t="s">
        <v>30</v>
      </c>
      <c r="I1" s="6" t="s">
        <v>91</v>
      </c>
      <c r="J1" s="6" t="s">
        <v>95</v>
      </c>
    </row>
    <row r="2" spans="1:10" x14ac:dyDescent="0.75">
      <c r="A2" t="s">
        <v>2</v>
      </c>
      <c r="B2" t="s">
        <v>6</v>
      </c>
      <c r="C2">
        <v>60</v>
      </c>
      <c r="D2" s="2">
        <v>2.1827142000000004</v>
      </c>
      <c r="E2" s="2">
        <v>654.25</v>
      </c>
      <c r="F2" s="2">
        <v>129.72236275053774</v>
      </c>
      <c r="G2" s="2">
        <v>1297223.6275053774</v>
      </c>
      <c r="H2" s="2"/>
      <c r="I2" s="10">
        <v>3.5753976681930651E-2</v>
      </c>
      <c r="J2" s="2">
        <v>2.225668701257403</v>
      </c>
    </row>
    <row r="3" spans="1:10" x14ac:dyDescent="0.75">
      <c r="A3" t="s">
        <v>2</v>
      </c>
      <c r="B3" t="s">
        <v>6</v>
      </c>
      <c r="C3">
        <v>100</v>
      </c>
      <c r="D3" s="2">
        <v>10.105158333333335</v>
      </c>
      <c r="E3" s="2">
        <v>145.33333333333334</v>
      </c>
      <c r="F3" s="2">
        <v>924.36498673422273</v>
      </c>
      <c r="G3" s="2">
        <v>9243649.8673422281</v>
      </c>
      <c r="H3" s="2"/>
      <c r="I3" s="10">
        <v>3.8241587157185931E-2</v>
      </c>
      <c r="J3" s="2">
        <v>16.043599483355223</v>
      </c>
    </row>
    <row r="4" spans="1:10" x14ac:dyDescent="0.75">
      <c r="A4" t="s">
        <v>2</v>
      </c>
      <c r="B4" t="s">
        <v>6</v>
      </c>
      <c r="C4">
        <v>150</v>
      </c>
      <c r="D4" s="2">
        <v>34.104909374999998</v>
      </c>
      <c r="E4" s="2">
        <v>655.33333333333337</v>
      </c>
      <c r="F4" s="2">
        <v>2654.6178504106001</v>
      </c>
      <c r="G4" s="2">
        <v>26546178.504106</v>
      </c>
      <c r="H4" s="2"/>
      <c r="I4" s="10">
        <v>6.3043507391304945E-2</v>
      </c>
      <c r="J4" s="2">
        <v>43.071035762076804</v>
      </c>
    </row>
    <row r="5" spans="1:10" x14ac:dyDescent="0.75">
      <c r="A5" t="s">
        <v>2</v>
      </c>
      <c r="B5" t="s">
        <v>6</v>
      </c>
      <c r="C5">
        <v>200</v>
      </c>
      <c r="D5" s="2">
        <v>80.841266666666684</v>
      </c>
      <c r="E5" s="2">
        <v>336.66666666666669</v>
      </c>
      <c r="F5" s="2">
        <v>6233.0500582378199</v>
      </c>
      <c r="G5" s="2">
        <v>62330500.582378201</v>
      </c>
      <c r="H5" s="2"/>
      <c r="I5" s="10">
        <v>8.5171537297451753E-3</v>
      </c>
      <c r="J5" s="2">
        <v>221.03878469702778</v>
      </c>
    </row>
    <row r="6" spans="1:10" x14ac:dyDescent="0.75">
      <c r="A6" t="s">
        <v>2</v>
      </c>
      <c r="B6" t="s">
        <v>6</v>
      </c>
      <c r="C6">
        <v>500</v>
      </c>
      <c r="D6" s="2">
        <v>1263.1447916666666</v>
      </c>
      <c r="E6" s="2">
        <v>58.333333333333336</v>
      </c>
      <c r="F6" s="2">
        <v>133792609.07510869</v>
      </c>
      <c r="G6" s="2">
        <v>1337926090751.0869</v>
      </c>
      <c r="H6" s="2"/>
      <c r="I6" s="10">
        <v>5.2992105688546884E-2</v>
      </c>
      <c r="J6" s="2">
        <v>42227477.91213347</v>
      </c>
    </row>
    <row r="8" spans="1:10" ht="29.5" x14ac:dyDescent="0.75">
      <c r="A8" s="6" t="s">
        <v>24</v>
      </c>
      <c r="B8" s="6" t="s">
        <v>23</v>
      </c>
      <c r="C8" s="6" t="s">
        <v>29</v>
      </c>
      <c r="D8" s="6" t="s">
        <v>26</v>
      </c>
      <c r="E8" s="6" t="s">
        <v>27</v>
      </c>
      <c r="F8" s="6" t="s">
        <v>28</v>
      </c>
      <c r="G8" s="6" t="s">
        <v>30</v>
      </c>
      <c r="H8" s="6"/>
      <c r="I8" s="6" t="s">
        <v>91</v>
      </c>
      <c r="J8" s="6" t="s">
        <v>95</v>
      </c>
    </row>
    <row r="9" spans="1:10" x14ac:dyDescent="0.75">
      <c r="A9" t="s">
        <v>2</v>
      </c>
      <c r="B9" t="s">
        <v>3</v>
      </c>
      <c r="C9">
        <v>60</v>
      </c>
      <c r="D9" s="2">
        <v>2.1827142000000004</v>
      </c>
      <c r="E9" s="2">
        <v>71</v>
      </c>
      <c r="F9" s="2">
        <v>17.540753739604149</v>
      </c>
      <c r="G9" s="2">
        <v>175407.5373960415</v>
      </c>
      <c r="H9" s="2"/>
      <c r="I9" s="10">
        <v>4.2253521126760563E-2</v>
      </c>
      <c r="J9" s="2">
        <v>37.399287420504606</v>
      </c>
    </row>
    <row r="10" spans="1:10" x14ac:dyDescent="0.75">
      <c r="A10" t="s">
        <v>2</v>
      </c>
      <c r="B10" t="s">
        <v>3</v>
      </c>
      <c r="C10">
        <v>100</v>
      </c>
      <c r="D10" s="2">
        <v>10.105158333333335</v>
      </c>
      <c r="E10" s="2">
        <v>142.66666666666666</v>
      </c>
      <c r="F10" s="2">
        <v>73.077125231282494</v>
      </c>
      <c r="G10" s="2">
        <v>730771.25231282494</v>
      </c>
      <c r="H10" s="2"/>
      <c r="I10" s="10">
        <v>4.140197464175082E-2</v>
      </c>
      <c r="J10" s="2">
        <v>3.8802134480713826</v>
      </c>
    </row>
    <row r="11" spans="1:10" x14ac:dyDescent="0.75">
      <c r="A11" t="s">
        <v>2</v>
      </c>
      <c r="B11" t="s">
        <v>3</v>
      </c>
      <c r="C11">
        <v>150</v>
      </c>
      <c r="D11" s="2">
        <v>34.104909374999998</v>
      </c>
      <c r="E11" s="2">
        <v>618.33333333333337</v>
      </c>
      <c r="F11" s="2">
        <v>186.563626583618</v>
      </c>
      <c r="G11" s="2">
        <v>1865636.26583618</v>
      </c>
      <c r="H11" s="2"/>
      <c r="I11" s="10">
        <v>3.920142094382284E-2</v>
      </c>
      <c r="J11" s="2">
        <v>14.93851492527461</v>
      </c>
    </row>
    <row r="12" spans="1:10" x14ac:dyDescent="0.75">
      <c r="A12" t="s">
        <v>2</v>
      </c>
      <c r="B12" t="s">
        <v>3</v>
      </c>
      <c r="C12">
        <v>200</v>
      </c>
      <c r="D12" s="2">
        <v>80.841266666666684</v>
      </c>
      <c r="E12" s="2">
        <v>272.33333333333331</v>
      </c>
      <c r="F12" s="2">
        <v>496.30698360171527</v>
      </c>
      <c r="G12" s="2">
        <v>4963069.8360171523</v>
      </c>
      <c r="H12" s="2"/>
      <c r="I12" s="10">
        <v>3.2888687497048721E-2</v>
      </c>
      <c r="J12" s="2">
        <v>15.873851120696209</v>
      </c>
    </row>
    <row r="13" spans="1:10" x14ac:dyDescent="0.75">
      <c r="A13" t="s">
        <v>2</v>
      </c>
      <c r="B13" t="s">
        <v>3</v>
      </c>
      <c r="C13">
        <v>500</v>
      </c>
      <c r="D13" s="2">
        <v>1263.1447916666666</v>
      </c>
      <c r="E13" s="2">
        <v>75.333333333333329</v>
      </c>
      <c r="F13" s="2">
        <v>9466.3188714705739</v>
      </c>
      <c r="G13" s="2">
        <v>94663188.714705735</v>
      </c>
      <c r="H13" s="2"/>
      <c r="I13" s="10">
        <v>0.11384672858644786</v>
      </c>
      <c r="J13" s="2">
        <v>1139.2521857130832</v>
      </c>
    </row>
    <row r="14" spans="1:10" x14ac:dyDescent="0.75">
      <c r="A14" t="s">
        <v>2</v>
      </c>
      <c r="B14" t="s">
        <v>3</v>
      </c>
      <c r="C14">
        <v>1000</v>
      </c>
      <c r="D14" s="2">
        <v>10105.158333333333</v>
      </c>
      <c r="E14" s="2">
        <v>464.88888888888891</v>
      </c>
      <c r="F14" s="2">
        <v>24125.018752856242</v>
      </c>
      <c r="G14" s="2">
        <v>241250187.52856243</v>
      </c>
      <c r="H14" s="2"/>
      <c r="I14" s="10">
        <v>0.43782863186788812</v>
      </c>
      <c r="J14" s="2">
        <v>1702.1028639502335</v>
      </c>
    </row>
    <row r="15" spans="1:10" x14ac:dyDescent="0.75">
      <c r="A15" t="s">
        <v>2</v>
      </c>
      <c r="B15" t="s">
        <v>3</v>
      </c>
      <c r="C15">
        <v>1500</v>
      </c>
      <c r="D15" s="2">
        <v>34104.909374999988</v>
      </c>
      <c r="E15" s="2">
        <v>241.55555555555554</v>
      </c>
      <c r="F15" s="2">
        <v>53490.538176564725</v>
      </c>
      <c r="G15" s="2">
        <v>534905381.76564723</v>
      </c>
      <c r="H15" s="2"/>
      <c r="I15" s="10">
        <v>0.69456094594752826</v>
      </c>
      <c r="J15" s="2">
        <v>7377.1713643027742</v>
      </c>
    </row>
    <row r="18" spans="1:10" ht="29.5" x14ac:dyDescent="0.75">
      <c r="A18" s="6" t="s">
        <v>24</v>
      </c>
      <c r="B18" s="6" t="s">
        <v>23</v>
      </c>
      <c r="C18" s="6" t="s">
        <v>29</v>
      </c>
      <c r="D18" s="6" t="s">
        <v>26</v>
      </c>
      <c r="E18" s="6" t="s">
        <v>27</v>
      </c>
      <c r="F18" s="6" t="s">
        <v>28</v>
      </c>
      <c r="G18" s="6" t="s">
        <v>30</v>
      </c>
      <c r="H18" s="6"/>
      <c r="I18" s="6" t="s">
        <v>91</v>
      </c>
      <c r="J18" s="6" t="s">
        <v>95</v>
      </c>
    </row>
    <row r="19" spans="1:10" x14ac:dyDescent="0.75">
      <c r="A19" t="s">
        <v>4</v>
      </c>
      <c r="B19" t="s">
        <v>6</v>
      </c>
      <c r="C19">
        <v>60</v>
      </c>
      <c r="D19" s="2">
        <v>2.1827142000000004</v>
      </c>
      <c r="E19" s="2">
        <v>584.33333333333337</v>
      </c>
      <c r="F19" s="2">
        <v>129.77946310721666</v>
      </c>
      <c r="G19" s="2">
        <v>1297794.6310721666</v>
      </c>
      <c r="H19" s="2"/>
      <c r="I19" s="10">
        <v>8.5377236435229681E-3</v>
      </c>
      <c r="J19" s="2">
        <v>1.6248989498199058</v>
      </c>
    </row>
    <row r="20" spans="1:10" x14ac:dyDescent="0.75">
      <c r="A20" t="s">
        <v>4</v>
      </c>
      <c r="B20" t="s">
        <v>3</v>
      </c>
      <c r="C20">
        <v>60</v>
      </c>
      <c r="D20" s="2">
        <v>2.1827142000000004</v>
      </c>
      <c r="E20" s="2">
        <v>61</v>
      </c>
      <c r="F20" s="2">
        <v>17.264037855388601</v>
      </c>
      <c r="G20" s="2">
        <v>172640.378553886</v>
      </c>
      <c r="H20" s="2"/>
      <c r="I20" s="10">
        <v>3.541388359785716E-2</v>
      </c>
      <c r="J20" s="2">
        <v>0.44876036871843039</v>
      </c>
    </row>
    <row r="21" spans="1:10" x14ac:dyDescent="0.75">
      <c r="A21" t="s">
        <v>4</v>
      </c>
      <c r="B21" t="s">
        <v>6</v>
      </c>
      <c r="C21">
        <v>100</v>
      </c>
      <c r="D21" s="2">
        <v>10.105158333333335</v>
      </c>
      <c r="E21" s="2">
        <v>145</v>
      </c>
      <c r="F21" s="2">
        <v>207.94318383740764</v>
      </c>
      <c r="G21" s="2">
        <v>2079431.8383740764</v>
      </c>
      <c r="H21" s="2"/>
      <c r="I21" s="10">
        <v>7.3850015651535678E-2</v>
      </c>
      <c r="J21" s="2">
        <v>12.670527388233024</v>
      </c>
    </row>
    <row r="22" spans="1:10" x14ac:dyDescent="0.75">
      <c r="A22" t="s">
        <v>4</v>
      </c>
      <c r="B22" t="s">
        <v>3</v>
      </c>
      <c r="C22">
        <v>100</v>
      </c>
      <c r="D22" s="2">
        <v>10.105158333333335</v>
      </c>
      <c r="E22" s="2">
        <v>153</v>
      </c>
      <c r="F22" s="2">
        <v>66.836405464133108</v>
      </c>
      <c r="G22" s="2">
        <v>668364.05464133108</v>
      </c>
      <c r="H22" s="2"/>
      <c r="I22" s="10">
        <v>7.3365831113214541E-2</v>
      </c>
      <c r="J22" s="2">
        <v>4.680252078572261</v>
      </c>
    </row>
    <row r="23" spans="1:10" x14ac:dyDescent="0.75">
      <c r="A23" t="s">
        <v>4</v>
      </c>
      <c r="B23" t="s">
        <v>6</v>
      </c>
      <c r="C23">
        <v>150</v>
      </c>
      <c r="D23" s="2">
        <v>34.104909374999998</v>
      </c>
      <c r="E23" s="2">
        <v>645</v>
      </c>
      <c r="F23" s="2">
        <v>2478.7479029712235</v>
      </c>
      <c r="G23" s="2">
        <v>24787479.029712234</v>
      </c>
      <c r="H23" s="2"/>
      <c r="I23" s="10">
        <v>1.1602038408601368E-2</v>
      </c>
      <c r="J23" s="2">
        <v>43.229919122834971</v>
      </c>
    </row>
    <row r="24" spans="1:10" x14ac:dyDescent="0.75">
      <c r="A24" t="s">
        <v>4</v>
      </c>
      <c r="B24" t="s">
        <v>3</v>
      </c>
      <c r="C24">
        <v>150</v>
      </c>
      <c r="D24" s="2">
        <v>34.104909374999998</v>
      </c>
      <c r="E24" s="2">
        <v>567.33333333333337</v>
      </c>
      <c r="F24" s="2">
        <v>188.46875510104499</v>
      </c>
      <c r="G24" s="2">
        <v>1884687.5510104499</v>
      </c>
      <c r="H24" s="2"/>
      <c r="I24" s="10">
        <v>2.5838582170735629E-2</v>
      </c>
      <c r="J24" s="2">
        <v>4.6253398748227221</v>
      </c>
    </row>
    <row r="25" spans="1:10" x14ac:dyDescent="0.75">
      <c r="A25" t="s">
        <v>4</v>
      </c>
      <c r="B25" t="s">
        <v>6</v>
      </c>
      <c r="C25">
        <v>200</v>
      </c>
      <c r="D25" s="2">
        <v>80.841266666666684</v>
      </c>
      <c r="E25" s="2">
        <v>327.33333333333331</v>
      </c>
      <c r="F25" s="2">
        <v>134.16190868254066</v>
      </c>
      <c r="G25" s="2">
        <v>1341619.0868254066</v>
      </c>
      <c r="H25" s="2"/>
      <c r="I25" s="10">
        <v>3.6175803805156032E-2</v>
      </c>
      <c r="J25" s="2">
        <v>1.187840746220959</v>
      </c>
    </row>
    <row r="26" spans="1:10" x14ac:dyDescent="0.75">
      <c r="A26" t="s">
        <v>4</v>
      </c>
      <c r="B26" t="s">
        <v>3</v>
      </c>
      <c r="C26">
        <v>200</v>
      </c>
      <c r="D26" s="2">
        <v>80.841266666666684</v>
      </c>
      <c r="E26" s="2">
        <v>315</v>
      </c>
      <c r="F26" s="2">
        <v>239.27288979818135</v>
      </c>
      <c r="G26" s="2">
        <v>2392728.8979818136</v>
      </c>
      <c r="H26" s="2"/>
      <c r="I26" s="10">
        <v>8.3872030562685121E-2</v>
      </c>
      <c r="J26" s="2">
        <v>2.6281049748654906</v>
      </c>
    </row>
    <row r="27" spans="1:10" x14ac:dyDescent="0.75">
      <c r="A27" t="s">
        <v>4</v>
      </c>
      <c r="B27" t="s">
        <v>6</v>
      </c>
      <c r="C27">
        <v>500</v>
      </c>
      <c r="D27" s="2">
        <v>1263.1447916666666</v>
      </c>
      <c r="E27" s="2">
        <v>67.666666666666671</v>
      </c>
      <c r="F27" s="2">
        <v>147.46992579405</v>
      </c>
      <c r="G27" s="2">
        <v>1474699.2579405</v>
      </c>
      <c r="H27" s="2"/>
      <c r="I27" s="10">
        <v>0.15562136944759916</v>
      </c>
      <c r="J27" s="2">
        <v>4.0234308876442606</v>
      </c>
    </row>
    <row r="28" spans="1:10" x14ac:dyDescent="0.75">
      <c r="A28" t="s">
        <v>4</v>
      </c>
      <c r="B28" t="s">
        <v>3</v>
      </c>
      <c r="C28">
        <v>500</v>
      </c>
      <c r="D28" s="2">
        <v>1263.1447916666666</v>
      </c>
      <c r="E28" s="2">
        <v>49.666666666666664</v>
      </c>
      <c r="F28" s="2">
        <v>96.869439161606167</v>
      </c>
      <c r="G28" s="2">
        <v>968694.39161606168</v>
      </c>
      <c r="H28" s="2"/>
      <c r="I28" s="10">
        <v>0.10440502809465803</v>
      </c>
      <c r="J28" s="2">
        <v>1.2259969237034944</v>
      </c>
    </row>
  </sheetData>
  <sortState xmlns:xlrd2="http://schemas.microsoft.com/office/spreadsheetml/2017/richdata2" ref="A2:J13">
    <sortCondition ref="B2:B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EC1D72FAFC2C41BB3659A7D1D6B90B" ma:contentTypeVersion="17" ma:contentTypeDescription="Create a new document." ma:contentTypeScope="" ma:versionID="97b5ac85db22f1600c4690db42bcd622">
  <xsd:schema xmlns:xsd="http://www.w3.org/2001/XMLSchema" xmlns:xs="http://www.w3.org/2001/XMLSchema" xmlns:p="http://schemas.microsoft.com/office/2006/metadata/properties" xmlns:ns2="66e01335-710e-4386-b920-5ee75db463b4" xmlns:ns3="2265edb5-f9d1-4c18-a463-a7cde063781e" targetNamespace="http://schemas.microsoft.com/office/2006/metadata/properties" ma:root="true" ma:fieldsID="2d6be4a3bd1301b1feac47f1766f90d5" ns2:_="" ns3:_="">
    <xsd:import namespace="66e01335-710e-4386-b920-5ee75db463b4"/>
    <xsd:import namespace="2265edb5-f9d1-4c18-a463-a7cde0637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01335-710e-4386-b920-5ee75db463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434354-605c-4a24-9fd5-b21458dd1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5edb5-f9d1-4c18-a463-a7cde0637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b5a3d0-1e41-4577-9868-8ca3b7c8fa5b}" ma:internalName="TaxCatchAll" ma:showField="CatchAllData" ma:web="2265edb5-f9d1-4c18-a463-a7cde0637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65edb5-f9d1-4c18-a463-a7cde063781e" xsi:nil="true"/>
    <lcf76f155ced4ddcb4097134ff3c332f xmlns="66e01335-710e-4386-b920-5ee75db463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C882F-2E24-4795-98A2-9F44AA62BB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60B783-EA05-483A-B46D-E48FA6B04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01335-710e-4386-b920-5ee75db463b4"/>
    <ds:schemaRef ds:uri="2265edb5-f9d1-4c18-a463-a7cde0637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543370-7BED-4646-B979-D1DF0E3CB41E}">
  <ds:schemaRefs>
    <ds:schemaRef ds:uri="http://schemas.microsoft.com/office/2006/metadata/properties"/>
    <ds:schemaRef ds:uri="http://schemas.microsoft.com/office/infopath/2007/PartnerControls"/>
    <ds:schemaRef ds:uri="1fbd2fa7-7212-4573-9a5c-755186b99a72"/>
    <ds:schemaRef ds:uri="550b4769-1d0c-4460-a4f3-93ad8dde9262"/>
    <ds:schemaRef ds:uri="2265edb5-f9d1-4c18-a463-a7cde063781e"/>
    <ds:schemaRef ds:uri="66e01335-710e-4386-b920-5ee75db463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Analog summary</vt:lpstr>
      <vt:lpstr>Pulse summary</vt:lpstr>
      <vt:lpstr>Au Matlab stats</vt:lpstr>
      <vt:lpstr>SiO2 Matlab stats</vt:lpstr>
      <vt:lpstr>Sort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Lomax-Vogt, Madeleine</dc:creator>
  <cp:lastModifiedBy>Olesik, John</cp:lastModifiedBy>
  <dcterms:created xsi:type="dcterms:W3CDTF">2023-12-19T17:20:43Z</dcterms:created>
  <dcterms:modified xsi:type="dcterms:W3CDTF">2025-01-20T02:52:04Z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0x010100F8EC1D72FAFC2C41BB3659A7D1D6B90B</vt:lpwstr>
  </property>
  <property fmtid="{D5CDD505-2E9C-101B-9397-08002B2CF9AE}" pid="3" name="MediaServiceImageTags">
    <vt:lpwstr/>
  </property>
</Properties>
</file>