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wanseauniversity-my.sharepoint.com/personal/francesco_delgiudice_swansea_ac_uk/Documents/Active Projects/AI Droplets NN/"/>
    </mc:Choice>
  </mc:AlternateContent>
  <xr:revisionPtr revIDLastSave="669" documentId="8_{C4A4A11F-3A05-4645-BA70-8AF6B626FCB6}" xr6:coauthVersionLast="47" xr6:coauthVersionMax="47" xr10:uidLastSave="{030656EE-5464-364E-8204-92F7F57EE292}"/>
  <bookViews>
    <workbookView xWindow="4680" yWindow="500" windowWidth="28800" windowHeight="16060" activeTab="2" xr2:uid="{C3FDE172-01CD-824C-85BD-31361DDEC52B}"/>
  </bookViews>
  <sheets>
    <sheet name="Water" sheetId="4" r:id="rId1"/>
    <sheet name="HA0pt01" sheetId="1" r:id="rId2"/>
    <sheet name="HA0pt0178" sheetId="9" r:id="rId3"/>
    <sheet name="HA0pt0316" sheetId="3" r:id="rId4"/>
    <sheet name="HA0pt1" sheetId="5" r:id="rId5"/>
    <sheet name="HA0pt178" sheetId="10" r:id="rId6"/>
    <sheet name="HA0pt316" sheetId="6" r:id="rId7"/>
    <sheet name="HA0pt562" sheetId="7" r:id="rId8"/>
    <sheet name="HA1" sheetId="8" r:id="rId9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" i="9" l="1"/>
  <c r="Q25" i="10"/>
  <c r="Q24" i="10"/>
  <c r="Q23" i="10"/>
  <c r="Q22" i="10"/>
  <c r="Q21" i="10"/>
  <c r="Q20" i="10"/>
  <c r="Q19" i="10"/>
  <c r="Q18" i="10"/>
  <c r="Q15" i="10"/>
  <c r="Q14" i="10"/>
  <c r="Q13" i="10"/>
  <c r="Q12" i="10"/>
  <c r="Q11" i="10"/>
  <c r="Q10" i="10"/>
  <c r="Q9" i="10"/>
  <c r="Q8" i="10"/>
  <c r="Q7" i="10"/>
  <c r="Q6" i="10"/>
  <c r="Q5" i="10"/>
  <c r="Q4" i="10"/>
  <c r="Z4" i="10"/>
  <c r="AB4" i="10"/>
  <c r="AC4" i="10"/>
  <c r="Z5" i="10"/>
  <c r="AB5" i="10"/>
  <c r="AC5" i="10"/>
  <c r="Z6" i="10"/>
  <c r="AB6" i="10"/>
  <c r="AC6" i="10"/>
  <c r="Z7" i="10"/>
  <c r="AB7" i="10"/>
  <c r="AC7" i="10"/>
  <c r="Z8" i="10"/>
  <c r="AB8" i="10"/>
  <c r="AC8" i="10"/>
  <c r="Z9" i="10"/>
  <c r="AB9" i="10"/>
  <c r="AC9" i="10"/>
  <c r="Z10" i="10"/>
  <c r="AB10" i="10"/>
  <c r="AC10" i="10"/>
  <c r="Z11" i="10"/>
  <c r="AB11" i="10"/>
  <c r="AC11" i="10"/>
  <c r="Z12" i="10"/>
  <c r="AB12" i="10"/>
  <c r="AC12" i="10"/>
  <c r="Z13" i="10"/>
  <c r="AB13" i="10"/>
  <c r="AC13" i="10"/>
  <c r="Z14" i="10"/>
  <c r="AB14" i="10"/>
  <c r="AC14" i="10"/>
  <c r="Z15" i="10"/>
  <c r="AB15" i="10"/>
  <c r="AC15" i="10"/>
  <c r="Z16" i="10"/>
  <c r="AB16" i="10"/>
  <c r="AC16" i="10"/>
  <c r="Z17" i="10"/>
  <c r="AB17" i="10"/>
  <c r="AC17" i="10"/>
  <c r="Z18" i="10"/>
  <c r="AB18" i="10"/>
  <c r="AC18" i="10"/>
  <c r="Z19" i="10"/>
  <c r="AB19" i="10"/>
  <c r="AC19" i="10"/>
  <c r="Z20" i="10"/>
  <c r="AB20" i="10"/>
  <c r="AC20" i="10"/>
  <c r="Z21" i="10"/>
  <c r="AB21" i="10"/>
  <c r="AC21" i="10"/>
  <c r="Z22" i="10"/>
  <c r="AB22" i="10"/>
  <c r="AC22" i="10"/>
  <c r="Z23" i="10"/>
  <c r="AB23" i="10"/>
  <c r="AC23" i="10"/>
  <c r="Z24" i="10"/>
  <c r="AB24" i="10"/>
  <c r="AC24" i="10"/>
  <c r="Z25" i="10"/>
  <c r="AB25" i="10"/>
  <c r="AC25" i="10"/>
  <c r="AI25" i="10"/>
  <c r="AA25" i="10"/>
  <c r="AH25" i="10"/>
  <c r="AS25" i="10"/>
  <c r="AM25" i="10"/>
  <c r="AR25" i="10"/>
  <c r="AQ25" i="10"/>
  <c r="AP25" i="10"/>
  <c r="AO25" i="10"/>
  <c r="AJ25" i="10"/>
  <c r="AN25" i="10"/>
  <c r="AK25" i="10"/>
  <c r="AG25" i="10"/>
  <c r="AE25" i="10"/>
  <c r="U25" i="10"/>
  <c r="Y25" i="10"/>
  <c r="T25" i="10"/>
  <c r="X25" i="10"/>
  <c r="S25" i="10"/>
  <c r="W25" i="10"/>
  <c r="R25" i="10"/>
  <c r="V25" i="10"/>
  <c r="AI24" i="10"/>
  <c r="AA24" i="10"/>
  <c r="AH24" i="10"/>
  <c r="AS24" i="10"/>
  <c r="AM24" i="10"/>
  <c r="AR24" i="10"/>
  <c r="AQ24" i="10"/>
  <c r="AP24" i="10"/>
  <c r="AO24" i="10"/>
  <c r="AJ24" i="10"/>
  <c r="AN24" i="10"/>
  <c r="AK24" i="10"/>
  <c r="AG24" i="10"/>
  <c r="AE24" i="10"/>
  <c r="U24" i="10"/>
  <c r="Y24" i="10"/>
  <c r="T24" i="10"/>
  <c r="X24" i="10"/>
  <c r="S24" i="10"/>
  <c r="W24" i="10"/>
  <c r="R24" i="10"/>
  <c r="V24" i="10"/>
  <c r="AI23" i="10"/>
  <c r="AA23" i="10"/>
  <c r="AH23" i="10"/>
  <c r="AS23" i="10"/>
  <c r="AM23" i="10"/>
  <c r="AR23" i="10"/>
  <c r="AQ23" i="10"/>
  <c r="AP23" i="10"/>
  <c r="AO23" i="10"/>
  <c r="AJ23" i="10"/>
  <c r="AN23" i="10"/>
  <c r="AK23" i="10"/>
  <c r="AG23" i="10"/>
  <c r="AE23" i="10"/>
  <c r="U23" i="10"/>
  <c r="Y23" i="10"/>
  <c r="T23" i="10"/>
  <c r="X23" i="10"/>
  <c r="S23" i="10"/>
  <c r="W23" i="10"/>
  <c r="R23" i="10"/>
  <c r="V23" i="10"/>
  <c r="AI22" i="10"/>
  <c r="AA22" i="10"/>
  <c r="AH22" i="10"/>
  <c r="AS22" i="10"/>
  <c r="AM22" i="10"/>
  <c r="AR22" i="10"/>
  <c r="AQ22" i="10"/>
  <c r="AP22" i="10"/>
  <c r="AO22" i="10"/>
  <c r="AJ22" i="10"/>
  <c r="AN22" i="10"/>
  <c r="AK22" i="10"/>
  <c r="AG22" i="10"/>
  <c r="AE22" i="10"/>
  <c r="U22" i="10"/>
  <c r="Y22" i="10"/>
  <c r="T22" i="10"/>
  <c r="X22" i="10"/>
  <c r="S22" i="10"/>
  <c r="W22" i="10"/>
  <c r="R22" i="10"/>
  <c r="V22" i="10"/>
  <c r="AI21" i="10"/>
  <c r="AA21" i="10"/>
  <c r="AH21" i="10"/>
  <c r="AS21" i="10"/>
  <c r="AM21" i="10"/>
  <c r="AR21" i="10"/>
  <c r="AQ21" i="10"/>
  <c r="AP21" i="10"/>
  <c r="AO21" i="10"/>
  <c r="AJ21" i="10"/>
  <c r="AN21" i="10"/>
  <c r="AK21" i="10"/>
  <c r="AG21" i="10"/>
  <c r="AE21" i="10"/>
  <c r="U21" i="10"/>
  <c r="Y21" i="10"/>
  <c r="T21" i="10"/>
  <c r="X21" i="10"/>
  <c r="S21" i="10"/>
  <c r="W21" i="10"/>
  <c r="R21" i="10"/>
  <c r="V21" i="10"/>
  <c r="AI20" i="10"/>
  <c r="AA20" i="10"/>
  <c r="AH20" i="10"/>
  <c r="AS20" i="10"/>
  <c r="AM20" i="10"/>
  <c r="AR20" i="10"/>
  <c r="AQ20" i="10"/>
  <c r="AP20" i="10"/>
  <c r="AO20" i="10"/>
  <c r="AJ20" i="10"/>
  <c r="AN20" i="10"/>
  <c r="AK20" i="10"/>
  <c r="AG20" i="10"/>
  <c r="AE20" i="10"/>
  <c r="U20" i="10"/>
  <c r="Y20" i="10"/>
  <c r="T20" i="10"/>
  <c r="X20" i="10"/>
  <c r="S20" i="10"/>
  <c r="W20" i="10"/>
  <c r="R20" i="10"/>
  <c r="V20" i="10"/>
  <c r="AI19" i="10"/>
  <c r="AA19" i="10"/>
  <c r="AH19" i="10"/>
  <c r="AS19" i="10"/>
  <c r="AM19" i="10"/>
  <c r="AR19" i="10"/>
  <c r="AQ19" i="10"/>
  <c r="AP19" i="10"/>
  <c r="AO19" i="10"/>
  <c r="AJ19" i="10"/>
  <c r="AN19" i="10"/>
  <c r="AK19" i="10"/>
  <c r="AG19" i="10"/>
  <c r="AE19" i="10"/>
  <c r="U19" i="10"/>
  <c r="Y19" i="10"/>
  <c r="T19" i="10"/>
  <c r="X19" i="10"/>
  <c r="S19" i="10"/>
  <c r="W19" i="10"/>
  <c r="R19" i="10"/>
  <c r="V19" i="10"/>
  <c r="AI18" i="10"/>
  <c r="AA18" i="10"/>
  <c r="AH18" i="10"/>
  <c r="AS18" i="10"/>
  <c r="AM18" i="10"/>
  <c r="AR18" i="10"/>
  <c r="AQ18" i="10"/>
  <c r="AP18" i="10"/>
  <c r="AO18" i="10"/>
  <c r="AJ18" i="10"/>
  <c r="AN18" i="10"/>
  <c r="AK18" i="10"/>
  <c r="AG18" i="10"/>
  <c r="AE18" i="10"/>
  <c r="U18" i="10"/>
  <c r="Y18" i="10"/>
  <c r="T18" i="10"/>
  <c r="X18" i="10"/>
  <c r="S18" i="10"/>
  <c r="W18" i="10"/>
  <c r="R18" i="10"/>
  <c r="V18" i="10"/>
  <c r="AI17" i="10"/>
  <c r="AA17" i="10"/>
  <c r="AH17" i="10"/>
  <c r="AS17" i="10"/>
  <c r="AM17" i="10"/>
  <c r="AR17" i="10"/>
  <c r="AQ17" i="10"/>
  <c r="AP17" i="10"/>
  <c r="AO17" i="10"/>
  <c r="AJ17" i="10"/>
  <c r="AN17" i="10"/>
  <c r="AK17" i="10"/>
  <c r="AG17" i="10"/>
  <c r="AE17" i="10"/>
  <c r="U17" i="10"/>
  <c r="Y17" i="10"/>
  <c r="T17" i="10"/>
  <c r="X17" i="10"/>
  <c r="S17" i="10"/>
  <c r="W17" i="10"/>
  <c r="R17" i="10"/>
  <c r="V17" i="10"/>
  <c r="AI16" i="10"/>
  <c r="AA16" i="10"/>
  <c r="AH16" i="10"/>
  <c r="AS16" i="10"/>
  <c r="AM16" i="10"/>
  <c r="AR16" i="10"/>
  <c r="AQ16" i="10"/>
  <c r="AP16" i="10"/>
  <c r="AO16" i="10"/>
  <c r="AJ16" i="10"/>
  <c r="AN16" i="10"/>
  <c r="AK16" i="10"/>
  <c r="AG16" i="10"/>
  <c r="AE16" i="10"/>
  <c r="U16" i="10"/>
  <c r="Y16" i="10"/>
  <c r="T16" i="10"/>
  <c r="X16" i="10"/>
  <c r="S16" i="10"/>
  <c r="W16" i="10"/>
  <c r="R16" i="10"/>
  <c r="V16" i="10"/>
  <c r="AI15" i="10"/>
  <c r="AA15" i="10"/>
  <c r="AH15" i="10"/>
  <c r="AS15" i="10"/>
  <c r="AM15" i="10"/>
  <c r="AR15" i="10"/>
  <c r="AQ15" i="10"/>
  <c r="AP15" i="10"/>
  <c r="AO15" i="10"/>
  <c r="AJ15" i="10"/>
  <c r="AN15" i="10"/>
  <c r="AK15" i="10"/>
  <c r="AG15" i="10"/>
  <c r="AE15" i="10"/>
  <c r="U15" i="10"/>
  <c r="Y15" i="10"/>
  <c r="T15" i="10"/>
  <c r="X15" i="10"/>
  <c r="S15" i="10"/>
  <c r="W15" i="10"/>
  <c r="R15" i="10"/>
  <c r="V15" i="10"/>
  <c r="AI14" i="10"/>
  <c r="AA14" i="10"/>
  <c r="AH14" i="10"/>
  <c r="AS14" i="10"/>
  <c r="AM14" i="10"/>
  <c r="AR14" i="10"/>
  <c r="AQ14" i="10"/>
  <c r="AP14" i="10"/>
  <c r="AO14" i="10"/>
  <c r="AJ14" i="10"/>
  <c r="AN14" i="10"/>
  <c r="AK14" i="10"/>
  <c r="AG14" i="10"/>
  <c r="AE14" i="10"/>
  <c r="U14" i="10"/>
  <c r="Y14" i="10"/>
  <c r="T14" i="10"/>
  <c r="X14" i="10"/>
  <c r="S14" i="10"/>
  <c r="W14" i="10"/>
  <c r="R14" i="10"/>
  <c r="V14" i="10"/>
  <c r="AI13" i="10"/>
  <c r="AA13" i="10"/>
  <c r="AH13" i="10"/>
  <c r="AS13" i="10"/>
  <c r="AM13" i="10"/>
  <c r="AR13" i="10"/>
  <c r="AQ13" i="10"/>
  <c r="AP13" i="10"/>
  <c r="AO13" i="10"/>
  <c r="AJ13" i="10"/>
  <c r="AN13" i="10"/>
  <c r="AK13" i="10"/>
  <c r="AG13" i="10"/>
  <c r="AE13" i="10"/>
  <c r="U13" i="10"/>
  <c r="Y13" i="10"/>
  <c r="T13" i="10"/>
  <c r="X13" i="10"/>
  <c r="S13" i="10"/>
  <c r="W13" i="10"/>
  <c r="R13" i="10"/>
  <c r="V13" i="10"/>
  <c r="AI12" i="10"/>
  <c r="AA12" i="10"/>
  <c r="AH12" i="10"/>
  <c r="AS12" i="10"/>
  <c r="AM12" i="10"/>
  <c r="AR12" i="10"/>
  <c r="AQ12" i="10"/>
  <c r="AP12" i="10"/>
  <c r="AO12" i="10"/>
  <c r="AJ12" i="10"/>
  <c r="AN12" i="10"/>
  <c r="AK12" i="10"/>
  <c r="AG12" i="10"/>
  <c r="AE12" i="10"/>
  <c r="U12" i="10"/>
  <c r="Y12" i="10"/>
  <c r="T12" i="10"/>
  <c r="X12" i="10"/>
  <c r="S12" i="10"/>
  <c r="W12" i="10"/>
  <c r="R12" i="10"/>
  <c r="V12" i="10"/>
  <c r="AI11" i="10"/>
  <c r="AA11" i="10"/>
  <c r="AH11" i="10"/>
  <c r="AS11" i="10"/>
  <c r="AM11" i="10"/>
  <c r="AR11" i="10"/>
  <c r="AQ11" i="10"/>
  <c r="AP11" i="10"/>
  <c r="AO11" i="10"/>
  <c r="AJ11" i="10"/>
  <c r="AN11" i="10"/>
  <c r="AK11" i="10"/>
  <c r="AG11" i="10"/>
  <c r="AE11" i="10"/>
  <c r="U11" i="10"/>
  <c r="Y11" i="10"/>
  <c r="T11" i="10"/>
  <c r="X11" i="10"/>
  <c r="S11" i="10"/>
  <c r="W11" i="10"/>
  <c r="R11" i="10"/>
  <c r="V11" i="10"/>
  <c r="AI10" i="10"/>
  <c r="AA10" i="10"/>
  <c r="AH10" i="10"/>
  <c r="AS10" i="10"/>
  <c r="AM10" i="10"/>
  <c r="AR10" i="10"/>
  <c r="AQ10" i="10"/>
  <c r="AP10" i="10"/>
  <c r="AO10" i="10"/>
  <c r="AJ10" i="10"/>
  <c r="AN10" i="10"/>
  <c r="AK10" i="10"/>
  <c r="AG10" i="10"/>
  <c r="AE10" i="10"/>
  <c r="U10" i="10"/>
  <c r="Y10" i="10"/>
  <c r="T10" i="10"/>
  <c r="X10" i="10"/>
  <c r="S10" i="10"/>
  <c r="W10" i="10"/>
  <c r="R10" i="10"/>
  <c r="V10" i="10"/>
  <c r="AI9" i="10"/>
  <c r="AA9" i="10"/>
  <c r="AH9" i="10"/>
  <c r="AS9" i="10"/>
  <c r="AM9" i="10"/>
  <c r="AR9" i="10"/>
  <c r="AQ9" i="10"/>
  <c r="AP9" i="10"/>
  <c r="AO9" i="10"/>
  <c r="AJ9" i="10"/>
  <c r="AN9" i="10"/>
  <c r="AK9" i="10"/>
  <c r="AG9" i="10"/>
  <c r="AE9" i="10"/>
  <c r="U9" i="10"/>
  <c r="Y9" i="10"/>
  <c r="T9" i="10"/>
  <c r="X9" i="10"/>
  <c r="S9" i="10"/>
  <c r="W9" i="10"/>
  <c r="R9" i="10"/>
  <c r="V9" i="10"/>
  <c r="AI8" i="10"/>
  <c r="AA8" i="10"/>
  <c r="AH8" i="10"/>
  <c r="AS8" i="10"/>
  <c r="AM8" i="10"/>
  <c r="AR8" i="10"/>
  <c r="AQ8" i="10"/>
  <c r="AP8" i="10"/>
  <c r="AO8" i="10"/>
  <c r="AJ8" i="10"/>
  <c r="AN8" i="10"/>
  <c r="AK8" i="10"/>
  <c r="AG8" i="10"/>
  <c r="AE8" i="10"/>
  <c r="U8" i="10"/>
  <c r="Y8" i="10"/>
  <c r="T8" i="10"/>
  <c r="X8" i="10"/>
  <c r="S8" i="10"/>
  <c r="W8" i="10"/>
  <c r="R8" i="10"/>
  <c r="V8" i="10"/>
  <c r="AI7" i="10"/>
  <c r="AA7" i="10"/>
  <c r="AH7" i="10"/>
  <c r="AS7" i="10"/>
  <c r="AM7" i="10"/>
  <c r="AR7" i="10"/>
  <c r="AQ7" i="10"/>
  <c r="AP7" i="10"/>
  <c r="AO7" i="10"/>
  <c r="AJ7" i="10"/>
  <c r="AN7" i="10"/>
  <c r="AK7" i="10"/>
  <c r="AG7" i="10"/>
  <c r="AE7" i="10"/>
  <c r="U7" i="10"/>
  <c r="Y7" i="10"/>
  <c r="T7" i="10"/>
  <c r="X7" i="10"/>
  <c r="S7" i="10"/>
  <c r="W7" i="10"/>
  <c r="R7" i="10"/>
  <c r="V7" i="10"/>
  <c r="AI6" i="10"/>
  <c r="AA6" i="10"/>
  <c r="AH6" i="10"/>
  <c r="AS6" i="10"/>
  <c r="AM6" i="10"/>
  <c r="AR6" i="10"/>
  <c r="AQ6" i="10"/>
  <c r="AP6" i="10"/>
  <c r="AO6" i="10"/>
  <c r="AJ6" i="10"/>
  <c r="AN6" i="10"/>
  <c r="AK6" i="10"/>
  <c r="AG6" i="10"/>
  <c r="AE6" i="10"/>
  <c r="U6" i="10"/>
  <c r="Y6" i="10"/>
  <c r="T6" i="10"/>
  <c r="X6" i="10"/>
  <c r="S6" i="10"/>
  <c r="W6" i="10"/>
  <c r="R6" i="10"/>
  <c r="V6" i="10"/>
  <c r="AI5" i="10"/>
  <c r="AA5" i="10"/>
  <c r="AH5" i="10"/>
  <c r="AS5" i="10"/>
  <c r="AM5" i="10"/>
  <c r="AR5" i="10"/>
  <c r="AQ5" i="10"/>
  <c r="AP5" i="10"/>
  <c r="AO5" i="10"/>
  <c r="AJ5" i="10"/>
  <c r="AN5" i="10"/>
  <c r="AK5" i="10"/>
  <c r="AG5" i="10"/>
  <c r="AE5" i="10"/>
  <c r="U5" i="10"/>
  <c r="Y5" i="10"/>
  <c r="T5" i="10"/>
  <c r="X5" i="10"/>
  <c r="S5" i="10"/>
  <c r="W5" i="10"/>
  <c r="R5" i="10"/>
  <c r="V5" i="10"/>
  <c r="AI4" i="10"/>
  <c r="AA4" i="10"/>
  <c r="AH4" i="10"/>
  <c r="AS4" i="10"/>
  <c r="AM4" i="10"/>
  <c r="AR4" i="10"/>
  <c r="AQ4" i="10"/>
  <c r="AP4" i="10"/>
  <c r="AO4" i="10"/>
  <c r="AJ4" i="10"/>
  <c r="AN4" i="10"/>
  <c r="AK4" i="10"/>
  <c r="AG4" i="10"/>
  <c r="AE4" i="10"/>
  <c r="U4" i="10"/>
  <c r="Y4" i="10"/>
  <c r="T4" i="10"/>
  <c r="X4" i="10"/>
  <c r="S4" i="10"/>
  <c r="W4" i="10"/>
  <c r="R4" i="10"/>
  <c r="V4" i="10"/>
  <c r="Q32" i="9"/>
  <c r="Q30" i="9"/>
  <c r="Q29" i="9"/>
  <c r="Q28" i="9"/>
  <c r="Q27" i="9"/>
  <c r="Q26" i="9"/>
  <c r="Q25" i="9"/>
  <c r="Q24" i="9"/>
  <c r="Q23" i="9"/>
  <c r="Q22" i="9"/>
  <c r="Q21" i="9"/>
  <c r="Q19" i="9"/>
  <c r="Q18" i="9"/>
  <c r="Q17" i="9"/>
  <c r="Q16" i="9"/>
  <c r="Q15" i="9"/>
  <c r="Q14" i="9"/>
  <c r="Q13" i="9"/>
  <c r="Q12" i="9"/>
  <c r="Q11" i="9"/>
  <c r="Q10" i="9"/>
  <c r="Q9" i="9"/>
  <c r="Q8" i="9"/>
  <c r="Q7" i="9"/>
  <c r="Q6" i="9"/>
  <c r="Q5" i="9"/>
  <c r="Q4" i="9"/>
  <c r="Z5" i="9"/>
  <c r="AB5" i="9"/>
  <c r="AC5" i="9"/>
  <c r="Z6" i="9"/>
  <c r="AB6" i="9"/>
  <c r="AC6" i="9"/>
  <c r="Z7" i="9"/>
  <c r="AB7" i="9"/>
  <c r="AC7" i="9"/>
  <c r="Z8" i="9"/>
  <c r="AB8" i="9"/>
  <c r="AC8" i="9"/>
  <c r="Z9" i="9"/>
  <c r="AB9" i="9"/>
  <c r="AC9" i="9"/>
  <c r="Z10" i="9"/>
  <c r="AB10" i="9"/>
  <c r="AC10" i="9"/>
  <c r="Z11" i="9"/>
  <c r="AB11" i="9"/>
  <c r="AC11" i="9"/>
  <c r="Z12" i="9"/>
  <c r="AB12" i="9"/>
  <c r="AC12" i="9"/>
  <c r="Z13" i="9"/>
  <c r="AB13" i="9"/>
  <c r="AC13" i="9"/>
  <c r="Z14" i="9"/>
  <c r="AB14" i="9"/>
  <c r="AC14" i="9"/>
  <c r="Z15" i="9"/>
  <c r="AB15" i="9"/>
  <c r="AC15" i="9"/>
  <c r="Z16" i="9"/>
  <c r="AB16" i="9"/>
  <c r="AC16" i="9"/>
  <c r="Z17" i="9"/>
  <c r="AB17" i="9"/>
  <c r="AC17" i="9"/>
  <c r="Z18" i="9"/>
  <c r="AB18" i="9"/>
  <c r="AC18" i="9"/>
  <c r="Z19" i="9"/>
  <c r="AB19" i="9"/>
  <c r="AC19" i="9"/>
  <c r="Z20" i="9"/>
  <c r="AB20" i="9"/>
  <c r="AC20" i="9"/>
  <c r="Z21" i="9"/>
  <c r="AB21" i="9"/>
  <c r="AC21" i="9"/>
  <c r="Z22" i="9"/>
  <c r="AB22" i="9"/>
  <c r="AC22" i="9"/>
  <c r="Z23" i="9"/>
  <c r="AB23" i="9"/>
  <c r="AC23" i="9"/>
  <c r="Z24" i="9"/>
  <c r="AB24" i="9"/>
  <c r="AC24" i="9"/>
  <c r="Z25" i="9"/>
  <c r="AB25" i="9"/>
  <c r="AC25" i="9"/>
  <c r="Z26" i="9"/>
  <c r="AB26" i="9"/>
  <c r="AC26" i="9"/>
  <c r="Z27" i="9"/>
  <c r="AB27" i="9"/>
  <c r="AC27" i="9"/>
  <c r="Z28" i="9"/>
  <c r="AB28" i="9"/>
  <c r="AC28" i="9"/>
  <c r="Z29" i="9"/>
  <c r="AB29" i="9"/>
  <c r="AC29" i="9"/>
  <c r="Z30" i="9"/>
  <c r="AB30" i="9"/>
  <c r="AC30" i="9"/>
  <c r="Z31" i="9"/>
  <c r="AB31" i="9"/>
  <c r="AC31" i="9"/>
  <c r="Z32" i="9"/>
  <c r="AB32" i="9"/>
  <c r="AC32" i="9"/>
  <c r="AB4" i="9"/>
  <c r="AC4" i="9"/>
  <c r="AI32" i="9"/>
  <c r="AA32" i="9"/>
  <c r="AH32" i="9"/>
  <c r="AS32" i="9"/>
  <c r="AM32" i="9"/>
  <c r="AR32" i="9"/>
  <c r="AQ32" i="9"/>
  <c r="AP32" i="9"/>
  <c r="AO32" i="9"/>
  <c r="AJ32" i="9"/>
  <c r="AN32" i="9"/>
  <c r="AK32" i="9"/>
  <c r="AG32" i="9"/>
  <c r="AE32" i="9"/>
  <c r="U32" i="9"/>
  <c r="Y32" i="9"/>
  <c r="T32" i="9"/>
  <c r="X32" i="9"/>
  <c r="S32" i="9"/>
  <c r="W32" i="9"/>
  <c r="R32" i="9"/>
  <c r="V32" i="9"/>
  <c r="AI31" i="9"/>
  <c r="AA31" i="9"/>
  <c r="AH31" i="9"/>
  <c r="AS31" i="9"/>
  <c r="AM31" i="9"/>
  <c r="AR31" i="9"/>
  <c r="AQ31" i="9"/>
  <c r="AP31" i="9"/>
  <c r="AO31" i="9"/>
  <c r="AJ31" i="9"/>
  <c r="AN31" i="9"/>
  <c r="AK31" i="9"/>
  <c r="AG31" i="9"/>
  <c r="AE31" i="9"/>
  <c r="U31" i="9"/>
  <c r="Y31" i="9"/>
  <c r="T31" i="9"/>
  <c r="X31" i="9"/>
  <c r="S31" i="9"/>
  <c r="W31" i="9"/>
  <c r="R31" i="9"/>
  <c r="V31" i="9"/>
  <c r="AI30" i="9"/>
  <c r="AA30" i="9"/>
  <c r="AH30" i="9"/>
  <c r="AS30" i="9"/>
  <c r="AM30" i="9"/>
  <c r="AR30" i="9"/>
  <c r="AQ30" i="9"/>
  <c r="AP30" i="9"/>
  <c r="AO30" i="9"/>
  <c r="AJ30" i="9"/>
  <c r="AN30" i="9"/>
  <c r="AK30" i="9"/>
  <c r="AG30" i="9"/>
  <c r="AE30" i="9"/>
  <c r="U30" i="9"/>
  <c r="Y30" i="9"/>
  <c r="T30" i="9"/>
  <c r="X30" i="9"/>
  <c r="S30" i="9"/>
  <c r="W30" i="9"/>
  <c r="R30" i="9"/>
  <c r="V30" i="9"/>
  <c r="AI29" i="9"/>
  <c r="AA29" i="9"/>
  <c r="AH29" i="9"/>
  <c r="AS29" i="9"/>
  <c r="AM29" i="9"/>
  <c r="AR29" i="9"/>
  <c r="AQ29" i="9"/>
  <c r="AP29" i="9"/>
  <c r="AO29" i="9"/>
  <c r="AJ29" i="9"/>
  <c r="AN29" i="9"/>
  <c r="AK29" i="9"/>
  <c r="AG29" i="9"/>
  <c r="AE29" i="9"/>
  <c r="U29" i="9"/>
  <c r="Y29" i="9"/>
  <c r="T29" i="9"/>
  <c r="X29" i="9"/>
  <c r="S29" i="9"/>
  <c r="W29" i="9"/>
  <c r="R29" i="9"/>
  <c r="V29" i="9"/>
  <c r="AI28" i="9"/>
  <c r="AA28" i="9"/>
  <c r="AH28" i="9"/>
  <c r="AS28" i="9"/>
  <c r="AM28" i="9"/>
  <c r="AR28" i="9"/>
  <c r="AQ28" i="9"/>
  <c r="AP28" i="9"/>
  <c r="AO28" i="9"/>
  <c r="AJ28" i="9"/>
  <c r="AN28" i="9"/>
  <c r="AK28" i="9"/>
  <c r="AG28" i="9"/>
  <c r="AE28" i="9"/>
  <c r="U28" i="9"/>
  <c r="Y28" i="9"/>
  <c r="T28" i="9"/>
  <c r="X28" i="9"/>
  <c r="S28" i="9"/>
  <c r="W28" i="9"/>
  <c r="R28" i="9"/>
  <c r="V28" i="9"/>
  <c r="AI27" i="9"/>
  <c r="AA27" i="9"/>
  <c r="AH27" i="9"/>
  <c r="AS27" i="9"/>
  <c r="AM27" i="9"/>
  <c r="AR27" i="9"/>
  <c r="AQ27" i="9"/>
  <c r="AP27" i="9"/>
  <c r="AO27" i="9"/>
  <c r="AJ27" i="9"/>
  <c r="AN27" i="9"/>
  <c r="AK27" i="9"/>
  <c r="AG27" i="9"/>
  <c r="AE27" i="9"/>
  <c r="U27" i="9"/>
  <c r="Y27" i="9"/>
  <c r="T27" i="9"/>
  <c r="X27" i="9"/>
  <c r="S27" i="9"/>
  <c r="W27" i="9"/>
  <c r="R27" i="9"/>
  <c r="V27" i="9"/>
  <c r="AI26" i="9"/>
  <c r="AA26" i="9"/>
  <c r="AH26" i="9"/>
  <c r="AS26" i="9"/>
  <c r="AM26" i="9"/>
  <c r="AR26" i="9"/>
  <c r="AQ26" i="9"/>
  <c r="AP26" i="9"/>
  <c r="AO26" i="9"/>
  <c r="AJ26" i="9"/>
  <c r="AN26" i="9"/>
  <c r="AK26" i="9"/>
  <c r="AG26" i="9"/>
  <c r="AE26" i="9"/>
  <c r="U26" i="9"/>
  <c r="Y26" i="9"/>
  <c r="T26" i="9"/>
  <c r="X26" i="9"/>
  <c r="S26" i="9"/>
  <c r="W26" i="9"/>
  <c r="R26" i="9"/>
  <c r="V26" i="9"/>
  <c r="AI25" i="9"/>
  <c r="AA25" i="9"/>
  <c r="AH25" i="9"/>
  <c r="AS25" i="9"/>
  <c r="AM25" i="9"/>
  <c r="AR25" i="9"/>
  <c r="AQ25" i="9"/>
  <c r="AP25" i="9"/>
  <c r="AO25" i="9"/>
  <c r="AJ25" i="9"/>
  <c r="AN25" i="9"/>
  <c r="AK25" i="9"/>
  <c r="AG25" i="9"/>
  <c r="AE25" i="9"/>
  <c r="U25" i="9"/>
  <c r="Y25" i="9"/>
  <c r="T25" i="9"/>
  <c r="X25" i="9"/>
  <c r="S25" i="9"/>
  <c r="W25" i="9"/>
  <c r="R25" i="9"/>
  <c r="V25" i="9"/>
  <c r="AI24" i="9"/>
  <c r="AA24" i="9"/>
  <c r="AH24" i="9"/>
  <c r="AS24" i="9"/>
  <c r="AM24" i="9"/>
  <c r="AR24" i="9"/>
  <c r="AQ24" i="9"/>
  <c r="AP24" i="9"/>
  <c r="AO24" i="9"/>
  <c r="AJ24" i="9"/>
  <c r="AN24" i="9"/>
  <c r="AK24" i="9"/>
  <c r="AG24" i="9"/>
  <c r="AE24" i="9"/>
  <c r="U24" i="9"/>
  <c r="Y24" i="9"/>
  <c r="T24" i="9"/>
  <c r="X24" i="9"/>
  <c r="S24" i="9"/>
  <c r="W24" i="9"/>
  <c r="R24" i="9"/>
  <c r="V24" i="9"/>
  <c r="AI23" i="9"/>
  <c r="AA23" i="9"/>
  <c r="AH23" i="9"/>
  <c r="AS23" i="9"/>
  <c r="AM23" i="9"/>
  <c r="AR23" i="9"/>
  <c r="AQ23" i="9"/>
  <c r="AP23" i="9"/>
  <c r="AO23" i="9"/>
  <c r="AJ23" i="9"/>
  <c r="AN23" i="9"/>
  <c r="AK23" i="9"/>
  <c r="AG23" i="9"/>
  <c r="AE23" i="9"/>
  <c r="U23" i="9"/>
  <c r="Y23" i="9"/>
  <c r="T23" i="9"/>
  <c r="X23" i="9"/>
  <c r="S23" i="9"/>
  <c r="W23" i="9"/>
  <c r="R23" i="9"/>
  <c r="V23" i="9"/>
  <c r="AI22" i="9"/>
  <c r="AA22" i="9"/>
  <c r="AH22" i="9"/>
  <c r="AS22" i="9"/>
  <c r="AM22" i="9"/>
  <c r="AR22" i="9"/>
  <c r="AQ22" i="9"/>
  <c r="AP22" i="9"/>
  <c r="AO22" i="9"/>
  <c r="AJ22" i="9"/>
  <c r="AN22" i="9"/>
  <c r="AK22" i="9"/>
  <c r="AG22" i="9"/>
  <c r="AE22" i="9"/>
  <c r="U22" i="9"/>
  <c r="Y22" i="9"/>
  <c r="T22" i="9"/>
  <c r="X22" i="9"/>
  <c r="S22" i="9"/>
  <c r="W22" i="9"/>
  <c r="R22" i="9"/>
  <c r="V22" i="9"/>
  <c r="AI21" i="9"/>
  <c r="AA21" i="9"/>
  <c r="AH21" i="9"/>
  <c r="AS21" i="9"/>
  <c r="AM21" i="9"/>
  <c r="AR21" i="9"/>
  <c r="AQ21" i="9"/>
  <c r="AP21" i="9"/>
  <c r="AO21" i="9"/>
  <c r="AJ21" i="9"/>
  <c r="AN21" i="9"/>
  <c r="AK21" i="9"/>
  <c r="AG21" i="9"/>
  <c r="AE21" i="9"/>
  <c r="U21" i="9"/>
  <c r="Y21" i="9"/>
  <c r="T21" i="9"/>
  <c r="X21" i="9"/>
  <c r="S21" i="9"/>
  <c r="W21" i="9"/>
  <c r="R21" i="9"/>
  <c r="V21" i="9"/>
  <c r="AI20" i="9"/>
  <c r="AA20" i="9"/>
  <c r="AH20" i="9"/>
  <c r="AS20" i="9"/>
  <c r="AM20" i="9"/>
  <c r="AR20" i="9"/>
  <c r="AQ20" i="9"/>
  <c r="AP20" i="9"/>
  <c r="AO20" i="9"/>
  <c r="AJ20" i="9"/>
  <c r="AN20" i="9"/>
  <c r="AK20" i="9"/>
  <c r="AG20" i="9"/>
  <c r="AE20" i="9"/>
  <c r="U20" i="9"/>
  <c r="Y20" i="9"/>
  <c r="T20" i="9"/>
  <c r="X20" i="9"/>
  <c r="S20" i="9"/>
  <c r="W20" i="9"/>
  <c r="R20" i="9"/>
  <c r="V20" i="9"/>
  <c r="AI19" i="9"/>
  <c r="AA19" i="9"/>
  <c r="AH19" i="9"/>
  <c r="AS19" i="9"/>
  <c r="AM19" i="9"/>
  <c r="AR19" i="9"/>
  <c r="AQ19" i="9"/>
  <c r="AP19" i="9"/>
  <c r="AO19" i="9"/>
  <c r="AJ19" i="9"/>
  <c r="AN19" i="9"/>
  <c r="AK19" i="9"/>
  <c r="AG19" i="9"/>
  <c r="AE19" i="9"/>
  <c r="U19" i="9"/>
  <c r="Y19" i="9"/>
  <c r="T19" i="9"/>
  <c r="X19" i="9"/>
  <c r="S19" i="9"/>
  <c r="W19" i="9"/>
  <c r="R19" i="9"/>
  <c r="V19" i="9"/>
  <c r="AI18" i="9"/>
  <c r="AA18" i="9"/>
  <c r="AH18" i="9"/>
  <c r="AS18" i="9"/>
  <c r="AM18" i="9"/>
  <c r="AR18" i="9"/>
  <c r="AQ18" i="9"/>
  <c r="AP18" i="9"/>
  <c r="AO18" i="9"/>
  <c r="AJ18" i="9"/>
  <c r="AN18" i="9"/>
  <c r="AK18" i="9"/>
  <c r="AG18" i="9"/>
  <c r="AE18" i="9"/>
  <c r="U18" i="9"/>
  <c r="Y18" i="9"/>
  <c r="T18" i="9"/>
  <c r="X18" i="9"/>
  <c r="S18" i="9"/>
  <c r="W18" i="9"/>
  <c r="R18" i="9"/>
  <c r="V18" i="9"/>
  <c r="AI17" i="9"/>
  <c r="AA17" i="9"/>
  <c r="AH17" i="9"/>
  <c r="AS17" i="9"/>
  <c r="AM17" i="9"/>
  <c r="AR17" i="9"/>
  <c r="AQ17" i="9"/>
  <c r="AP17" i="9"/>
  <c r="AO17" i="9"/>
  <c r="AJ17" i="9"/>
  <c r="AN17" i="9"/>
  <c r="AK17" i="9"/>
  <c r="AG17" i="9"/>
  <c r="AE17" i="9"/>
  <c r="U17" i="9"/>
  <c r="Y17" i="9"/>
  <c r="T17" i="9"/>
  <c r="X17" i="9"/>
  <c r="S17" i="9"/>
  <c r="W17" i="9"/>
  <c r="R17" i="9"/>
  <c r="V17" i="9"/>
  <c r="AI16" i="9"/>
  <c r="AA16" i="9"/>
  <c r="AH16" i="9"/>
  <c r="AS16" i="9"/>
  <c r="AM16" i="9"/>
  <c r="AR16" i="9"/>
  <c r="AQ16" i="9"/>
  <c r="AP16" i="9"/>
  <c r="AO16" i="9"/>
  <c r="AJ16" i="9"/>
  <c r="AN16" i="9"/>
  <c r="AK16" i="9"/>
  <c r="AG16" i="9"/>
  <c r="AE16" i="9"/>
  <c r="U16" i="9"/>
  <c r="Y16" i="9"/>
  <c r="T16" i="9"/>
  <c r="X16" i="9"/>
  <c r="S16" i="9"/>
  <c r="W16" i="9"/>
  <c r="R16" i="9"/>
  <c r="V16" i="9"/>
  <c r="AI15" i="9"/>
  <c r="AA15" i="9"/>
  <c r="AH15" i="9"/>
  <c r="AS15" i="9"/>
  <c r="AM15" i="9"/>
  <c r="AR15" i="9"/>
  <c r="AQ15" i="9"/>
  <c r="AP15" i="9"/>
  <c r="AO15" i="9"/>
  <c r="AJ15" i="9"/>
  <c r="AN15" i="9"/>
  <c r="AK15" i="9"/>
  <c r="AG15" i="9"/>
  <c r="AE15" i="9"/>
  <c r="U15" i="9"/>
  <c r="Y15" i="9"/>
  <c r="T15" i="9"/>
  <c r="X15" i="9"/>
  <c r="S15" i="9"/>
  <c r="W15" i="9"/>
  <c r="R15" i="9"/>
  <c r="V15" i="9"/>
  <c r="AI14" i="9"/>
  <c r="AA14" i="9"/>
  <c r="AH14" i="9"/>
  <c r="AS14" i="9"/>
  <c r="AM14" i="9"/>
  <c r="AR14" i="9"/>
  <c r="AQ14" i="9"/>
  <c r="AP14" i="9"/>
  <c r="AO14" i="9"/>
  <c r="AJ14" i="9"/>
  <c r="AN14" i="9"/>
  <c r="AK14" i="9"/>
  <c r="AG14" i="9"/>
  <c r="AE14" i="9"/>
  <c r="U14" i="9"/>
  <c r="Y14" i="9"/>
  <c r="T14" i="9"/>
  <c r="X14" i="9"/>
  <c r="S14" i="9"/>
  <c r="W14" i="9"/>
  <c r="R14" i="9"/>
  <c r="V14" i="9"/>
  <c r="AI13" i="9"/>
  <c r="AA13" i="9"/>
  <c r="AH13" i="9"/>
  <c r="AS13" i="9"/>
  <c r="AM13" i="9"/>
  <c r="AR13" i="9"/>
  <c r="AQ13" i="9"/>
  <c r="AP13" i="9"/>
  <c r="AO13" i="9"/>
  <c r="AJ13" i="9"/>
  <c r="AN13" i="9"/>
  <c r="AK13" i="9"/>
  <c r="AG13" i="9"/>
  <c r="AE13" i="9"/>
  <c r="U13" i="9"/>
  <c r="Y13" i="9"/>
  <c r="T13" i="9"/>
  <c r="X13" i="9"/>
  <c r="S13" i="9"/>
  <c r="W13" i="9"/>
  <c r="R13" i="9"/>
  <c r="V13" i="9"/>
  <c r="AI12" i="9"/>
  <c r="AA12" i="9"/>
  <c r="AH12" i="9"/>
  <c r="AS12" i="9"/>
  <c r="AM12" i="9"/>
  <c r="AR12" i="9"/>
  <c r="AQ12" i="9"/>
  <c r="AP12" i="9"/>
  <c r="AO12" i="9"/>
  <c r="AJ12" i="9"/>
  <c r="AN12" i="9"/>
  <c r="AK12" i="9"/>
  <c r="AG12" i="9"/>
  <c r="AE12" i="9"/>
  <c r="U12" i="9"/>
  <c r="Y12" i="9"/>
  <c r="T12" i="9"/>
  <c r="X12" i="9"/>
  <c r="S12" i="9"/>
  <c r="W12" i="9"/>
  <c r="R12" i="9"/>
  <c r="V12" i="9"/>
  <c r="AI11" i="9"/>
  <c r="AA11" i="9"/>
  <c r="AH11" i="9"/>
  <c r="AS11" i="9"/>
  <c r="AM11" i="9"/>
  <c r="AR11" i="9"/>
  <c r="AQ11" i="9"/>
  <c r="AP11" i="9"/>
  <c r="AO11" i="9"/>
  <c r="AJ11" i="9"/>
  <c r="AN11" i="9"/>
  <c r="AK11" i="9"/>
  <c r="AG11" i="9"/>
  <c r="AE11" i="9"/>
  <c r="U11" i="9"/>
  <c r="Y11" i="9"/>
  <c r="T11" i="9"/>
  <c r="X11" i="9"/>
  <c r="S11" i="9"/>
  <c r="W11" i="9"/>
  <c r="R11" i="9"/>
  <c r="V11" i="9"/>
  <c r="AI10" i="9"/>
  <c r="AA10" i="9"/>
  <c r="AH10" i="9"/>
  <c r="AS10" i="9"/>
  <c r="AM10" i="9"/>
  <c r="AR10" i="9"/>
  <c r="AQ10" i="9"/>
  <c r="AP10" i="9"/>
  <c r="AO10" i="9"/>
  <c r="AJ10" i="9"/>
  <c r="AN10" i="9"/>
  <c r="AK10" i="9"/>
  <c r="AG10" i="9"/>
  <c r="AE10" i="9"/>
  <c r="U10" i="9"/>
  <c r="Y10" i="9"/>
  <c r="T10" i="9"/>
  <c r="X10" i="9"/>
  <c r="S10" i="9"/>
  <c r="W10" i="9"/>
  <c r="R10" i="9"/>
  <c r="V10" i="9"/>
  <c r="AI9" i="9"/>
  <c r="AA9" i="9"/>
  <c r="AH9" i="9"/>
  <c r="AS9" i="9"/>
  <c r="AM9" i="9"/>
  <c r="AR9" i="9"/>
  <c r="AQ9" i="9"/>
  <c r="AP9" i="9"/>
  <c r="AO9" i="9"/>
  <c r="AJ9" i="9"/>
  <c r="AN9" i="9"/>
  <c r="AK9" i="9"/>
  <c r="AG9" i="9"/>
  <c r="AE9" i="9"/>
  <c r="U9" i="9"/>
  <c r="Y9" i="9"/>
  <c r="T9" i="9"/>
  <c r="X9" i="9"/>
  <c r="S9" i="9"/>
  <c r="W9" i="9"/>
  <c r="R9" i="9"/>
  <c r="V9" i="9"/>
  <c r="AI8" i="9"/>
  <c r="AA8" i="9"/>
  <c r="AH8" i="9"/>
  <c r="AS8" i="9"/>
  <c r="AM8" i="9"/>
  <c r="AR8" i="9"/>
  <c r="AQ8" i="9"/>
  <c r="AP8" i="9"/>
  <c r="AO8" i="9"/>
  <c r="AJ8" i="9"/>
  <c r="AN8" i="9"/>
  <c r="AK8" i="9"/>
  <c r="AG8" i="9"/>
  <c r="AE8" i="9"/>
  <c r="U8" i="9"/>
  <c r="Y8" i="9"/>
  <c r="T8" i="9"/>
  <c r="X8" i="9"/>
  <c r="S8" i="9"/>
  <c r="W8" i="9"/>
  <c r="R8" i="9"/>
  <c r="V8" i="9"/>
  <c r="AI7" i="9"/>
  <c r="AA7" i="9"/>
  <c r="AH7" i="9"/>
  <c r="AS7" i="9"/>
  <c r="AM7" i="9"/>
  <c r="AR7" i="9"/>
  <c r="AQ7" i="9"/>
  <c r="AP7" i="9"/>
  <c r="AO7" i="9"/>
  <c r="AJ7" i="9"/>
  <c r="AN7" i="9"/>
  <c r="AK7" i="9"/>
  <c r="AG7" i="9"/>
  <c r="AE7" i="9"/>
  <c r="U7" i="9"/>
  <c r="Y7" i="9"/>
  <c r="T7" i="9"/>
  <c r="X7" i="9"/>
  <c r="S7" i="9"/>
  <c r="W7" i="9"/>
  <c r="R7" i="9"/>
  <c r="V7" i="9"/>
  <c r="AI6" i="9"/>
  <c r="AA6" i="9"/>
  <c r="AH6" i="9"/>
  <c r="AS6" i="9"/>
  <c r="AM6" i="9"/>
  <c r="AR6" i="9"/>
  <c r="AQ6" i="9"/>
  <c r="AP6" i="9"/>
  <c r="AO6" i="9"/>
  <c r="AJ6" i="9"/>
  <c r="AN6" i="9"/>
  <c r="AK6" i="9"/>
  <c r="AG6" i="9"/>
  <c r="AE6" i="9"/>
  <c r="U6" i="9"/>
  <c r="Y6" i="9"/>
  <c r="T6" i="9"/>
  <c r="X6" i="9"/>
  <c r="S6" i="9"/>
  <c r="W6" i="9"/>
  <c r="R6" i="9"/>
  <c r="V6" i="9"/>
  <c r="AI5" i="9"/>
  <c r="AA5" i="9"/>
  <c r="AH5" i="9"/>
  <c r="AS5" i="9"/>
  <c r="AM5" i="9"/>
  <c r="AR5" i="9"/>
  <c r="AQ5" i="9"/>
  <c r="AP5" i="9"/>
  <c r="AO5" i="9"/>
  <c r="AJ5" i="9"/>
  <c r="AN5" i="9"/>
  <c r="AK5" i="9"/>
  <c r="AG5" i="9"/>
  <c r="AE5" i="9"/>
  <c r="U5" i="9"/>
  <c r="Y5" i="9"/>
  <c r="T5" i="9"/>
  <c r="X5" i="9"/>
  <c r="S5" i="9"/>
  <c r="W5" i="9"/>
  <c r="R5" i="9"/>
  <c r="V5" i="9"/>
  <c r="AI4" i="9"/>
  <c r="AA4" i="9"/>
  <c r="AH4" i="9"/>
  <c r="AS4" i="9"/>
  <c r="AM4" i="9"/>
  <c r="AR4" i="9"/>
  <c r="AQ4" i="9"/>
  <c r="AP4" i="9"/>
  <c r="AO4" i="9"/>
  <c r="AJ4" i="9"/>
  <c r="AN4" i="9"/>
  <c r="AK4" i="9"/>
  <c r="AG4" i="9"/>
  <c r="AE4" i="9"/>
  <c r="U4" i="9"/>
  <c r="Y4" i="9"/>
  <c r="T4" i="9"/>
  <c r="X4" i="9"/>
  <c r="S4" i="9"/>
  <c r="W4" i="9"/>
  <c r="R4" i="9"/>
  <c r="V4" i="9"/>
  <c r="AJ28" i="4"/>
  <c r="AS5" i="1"/>
  <c r="AS6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5" i="3"/>
  <c r="AS6" i="3"/>
  <c r="AS7" i="3"/>
  <c r="AS8" i="3"/>
  <c r="AS9" i="3"/>
  <c r="AS10" i="3"/>
  <c r="AS11" i="3"/>
  <c r="AS12" i="3"/>
  <c r="AS13" i="3"/>
  <c r="AS14" i="3"/>
  <c r="AS15" i="3"/>
  <c r="AS16" i="3"/>
  <c r="AS17" i="3"/>
  <c r="AS18" i="3"/>
  <c r="AS19" i="3"/>
  <c r="AS20" i="3"/>
  <c r="AS21" i="3"/>
  <c r="AS22" i="3"/>
  <c r="AS23" i="3"/>
  <c r="AS24" i="3"/>
  <c r="AS25" i="3"/>
  <c r="AS26" i="3"/>
  <c r="AS27" i="3"/>
  <c r="AS28" i="3"/>
  <c r="AS29" i="3"/>
  <c r="AS30" i="3"/>
  <c r="AS31" i="3"/>
  <c r="AS32" i="3"/>
  <c r="AS33" i="3"/>
  <c r="AS34" i="3"/>
  <c r="AS35" i="3"/>
  <c r="AS36" i="3"/>
  <c r="AS5" i="5"/>
  <c r="AS6" i="5"/>
  <c r="AS7" i="5"/>
  <c r="AS8" i="5"/>
  <c r="AS9" i="5"/>
  <c r="AS10" i="5"/>
  <c r="AS11" i="5"/>
  <c r="AS12" i="5"/>
  <c r="AS13" i="5"/>
  <c r="AS14" i="5"/>
  <c r="AS15" i="5"/>
  <c r="AS16" i="5"/>
  <c r="AS17" i="5"/>
  <c r="AS18" i="5"/>
  <c r="AS19" i="5"/>
  <c r="AS20" i="5"/>
  <c r="AS21" i="5"/>
  <c r="AS22" i="5"/>
  <c r="AS23" i="5"/>
  <c r="AS24" i="5"/>
  <c r="AS25" i="5"/>
  <c r="AS26" i="5"/>
  <c r="AS27" i="5"/>
  <c r="AS28" i="5"/>
  <c r="AS29" i="5"/>
  <c r="AS30" i="5"/>
  <c r="AS31" i="5"/>
  <c r="AS32" i="5"/>
  <c r="AS33" i="5"/>
  <c r="AS34" i="5"/>
  <c r="AS5" i="6"/>
  <c r="AS6" i="6"/>
  <c r="AS7" i="6"/>
  <c r="AS8" i="6"/>
  <c r="AS9" i="6"/>
  <c r="AS10" i="6"/>
  <c r="AS11" i="6"/>
  <c r="AS12" i="6"/>
  <c r="AS13" i="6"/>
  <c r="AS14" i="6"/>
  <c r="AS15" i="6"/>
  <c r="AS16" i="6"/>
  <c r="AS17" i="6"/>
  <c r="AS18" i="6"/>
  <c r="AS19" i="6"/>
  <c r="AS20" i="6"/>
  <c r="AS21" i="6"/>
  <c r="AS22" i="6"/>
  <c r="AS23" i="6"/>
  <c r="AS24" i="6"/>
  <c r="AS25" i="6"/>
  <c r="AS26" i="6"/>
  <c r="AS27" i="6"/>
  <c r="AS28" i="6"/>
  <c r="AS29" i="6"/>
  <c r="AS30" i="6"/>
  <c r="AS31" i="6"/>
  <c r="AS5" i="7"/>
  <c r="AS6" i="7"/>
  <c r="AS7" i="7"/>
  <c r="AS8" i="7"/>
  <c r="AS9" i="7"/>
  <c r="AS10" i="7"/>
  <c r="AS11" i="7"/>
  <c r="AS12" i="7"/>
  <c r="AS13" i="7"/>
  <c r="AS14" i="7"/>
  <c r="AS15" i="7"/>
  <c r="AS16" i="7"/>
  <c r="AS17" i="7"/>
  <c r="AS18" i="7"/>
  <c r="AS19" i="7"/>
  <c r="AS20" i="7"/>
  <c r="AS21" i="7"/>
  <c r="AS22" i="7"/>
  <c r="AS23" i="7"/>
  <c r="AS24" i="7"/>
  <c r="AS25" i="7"/>
  <c r="AS26" i="7"/>
  <c r="AS27" i="7"/>
  <c r="AS28" i="7"/>
  <c r="AS5" i="8"/>
  <c r="AS6" i="8"/>
  <c r="AS7" i="8"/>
  <c r="AS8" i="8"/>
  <c r="AS9" i="8"/>
  <c r="AS10" i="8"/>
  <c r="AS11" i="8"/>
  <c r="AS12" i="8"/>
  <c r="AS13" i="8"/>
  <c r="AS4" i="8"/>
  <c r="AS4" i="7"/>
  <c r="AS4" i="6"/>
  <c r="AS4" i="5"/>
  <c r="AS4" i="3"/>
  <c r="AS4" i="1"/>
  <c r="AQ5" i="4"/>
  <c r="AQ6" i="4"/>
  <c r="AQ7" i="4"/>
  <c r="AQ8" i="4"/>
  <c r="AQ9" i="4"/>
  <c r="AQ10" i="4"/>
  <c r="AQ11" i="4"/>
  <c r="AQ12" i="4"/>
  <c r="AQ13" i="4"/>
  <c r="AQ14" i="4"/>
  <c r="AQ15" i="4"/>
  <c r="AQ16" i="4"/>
  <c r="AQ17" i="4"/>
  <c r="AQ18" i="4"/>
  <c r="AQ19" i="4"/>
  <c r="AQ20" i="4"/>
  <c r="AQ21" i="4"/>
  <c r="AQ22" i="4"/>
  <c r="AQ23" i="4"/>
  <c r="AQ24" i="4"/>
  <c r="AQ25" i="4"/>
  <c r="AQ26" i="4"/>
  <c r="AQ27" i="4"/>
  <c r="AQ28" i="4"/>
  <c r="AQ29" i="4"/>
  <c r="AQ30" i="4"/>
  <c r="AQ31" i="4"/>
  <c r="AQ32" i="4"/>
  <c r="AQ33" i="4"/>
  <c r="AQ34" i="4"/>
  <c r="AQ35" i="4"/>
  <c r="AQ36" i="4"/>
  <c r="AQ37" i="4"/>
  <c r="AQ38" i="4"/>
  <c r="AQ39" i="4"/>
  <c r="AQ40" i="4"/>
  <c r="AQ41" i="4"/>
  <c r="AQ42" i="4"/>
  <c r="AQ4" i="4"/>
  <c r="AR5" i="1"/>
  <c r="AR6" i="1"/>
  <c r="AR7" i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" i="1"/>
  <c r="AR5" i="3"/>
  <c r="AR6" i="3"/>
  <c r="AR7" i="3"/>
  <c r="AR8" i="3"/>
  <c r="AR9" i="3"/>
  <c r="AR10" i="3"/>
  <c r="AR11" i="3"/>
  <c r="AR12" i="3"/>
  <c r="AR13" i="3"/>
  <c r="AR14" i="3"/>
  <c r="AR15" i="3"/>
  <c r="AR16" i="3"/>
  <c r="AR17" i="3"/>
  <c r="AR18" i="3"/>
  <c r="AR19" i="3"/>
  <c r="AR20" i="3"/>
  <c r="AR21" i="3"/>
  <c r="AR22" i="3"/>
  <c r="AR23" i="3"/>
  <c r="AR24" i="3"/>
  <c r="AR25" i="3"/>
  <c r="AR26" i="3"/>
  <c r="AR27" i="3"/>
  <c r="AR28" i="3"/>
  <c r="AR29" i="3"/>
  <c r="AR30" i="3"/>
  <c r="AR31" i="3"/>
  <c r="AR32" i="3"/>
  <c r="AR33" i="3"/>
  <c r="AR34" i="3"/>
  <c r="AR35" i="3"/>
  <c r="AR36" i="3"/>
  <c r="AR4" i="3"/>
  <c r="AR5" i="5"/>
  <c r="AR6" i="5"/>
  <c r="AR7" i="5"/>
  <c r="AR8" i="5"/>
  <c r="AR9" i="5"/>
  <c r="AR10" i="5"/>
  <c r="AR11" i="5"/>
  <c r="AR12" i="5"/>
  <c r="AR13" i="5"/>
  <c r="AR14" i="5"/>
  <c r="AR15" i="5"/>
  <c r="AR16" i="5"/>
  <c r="AR17" i="5"/>
  <c r="AR18" i="5"/>
  <c r="AR19" i="5"/>
  <c r="AR20" i="5"/>
  <c r="AR21" i="5"/>
  <c r="AR22" i="5"/>
  <c r="AR23" i="5"/>
  <c r="AR24" i="5"/>
  <c r="AR25" i="5"/>
  <c r="AR26" i="5"/>
  <c r="AR27" i="5"/>
  <c r="AR28" i="5"/>
  <c r="AR29" i="5"/>
  <c r="AR30" i="5"/>
  <c r="AR31" i="5"/>
  <c r="AR32" i="5"/>
  <c r="AR33" i="5"/>
  <c r="AR34" i="5"/>
  <c r="AR4" i="5"/>
  <c r="AR5" i="6"/>
  <c r="AR6" i="6"/>
  <c r="AR7" i="6"/>
  <c r="AR8" i="6"/>
  <c r="AR9" i="6"/>
  <c r="AR10" i="6"/>
  <c r="AR11" i="6"/>
  <c r="AR12" i="6"/>
  <c r="AR13" i="6"/>
  <c r="AR14" i="6"/>
  <c r="AR15" i="6"/>
  <c r="AR16" i="6"/>
  <c r="AR17" i="6"/>
  <c r="AR18" i="6"/>
  <c r="AR19" i="6"/>
  <c r="AR20" i="6"/>
  <c r="AR21" i="6"/>
  <c r="AR22" i="6"/>
  <c r="AR23" i="6"/>
  <c r="AR24" i="6"/>
  <c r="AR25" i="6"/>
  <c r="AR26" i="6"/>
  <c r="AR27" i="6"/>
  <c r="AR28" i="6"/>
  <c r="AR29" i="6"/>
  <c r="AR30" i="6"/>
  <c r="AR31" i="6"/>
  <c r="AR4" i="6"/>
  <c r="AR5" i="7"/>
  <c r="AR6" i="7"/>
  <c r="AR7" i="7"/>
  <c r="AR8" i="7"/>
  <c r="AR9" i="7"/>
  <c r="AR10" i="7"/>
  <c r="AR11" i="7"/>
  <c r="AR12" i="7"/>
  <c r="AR13" i="7"/>
  <c r="AR14" i="7"/>
  <c r="AR15" i="7"/>
  <c r="AR16" i="7"/>
  <c r="AR17" i="7"/>
  <c r="AR18" i="7"/>
  <c r="AR19" i="7"/>
  <c r="AR20" i="7"/>
  <c r="AR21" i="7"/>
  <c r="AR22" i="7"/>
  <c r="AR23" i="7"/>
  <c r="AR24" i="7"/>
  <c r="AR25" i="7"/>
  <c r="AR26" i="7"/>
  <c r="AR27" i="7"/>
  <c r="AR28" i="7"/>
  <c r="AR4" i="7"/>
  <c r="AR5" i="8"/>
  <c r="AR6" i="8"/>
  <c r="AR7" i="8"/>
  <c r="AR8" i="8"/>
  <c r="AR9" i="8"/>
  <c r="AR10" i="8"/>
  <c r="AR11" i="8"/>
  <c r="AR12" i="8"/>
  <c r="AR13" i="8"/>
  <c r="AR4" i="8"/>
  <c r="AQ4" i="8"/>
  <c r="AQ4" i="7"/>
  <c r="AQ4" i="6"/>
  <c r="AQ4" i="5"/>
  <c r="AQ4" i="3"/>
  <c r="AQ4" i="1"/>
  <c r="AQ5" i="8"/>
  <c r="AQ6" i="8"/>
  <c r="AQ7" i="8"/>
  <c r="AQ8" i="8"/>
  <c r="AQ9" i="8"/>
  <c r="AQ10" i="8"/>
  <c r="AQ11" i="8"/>
  <c r="AQ12" i="8"/>
  <c r="AQ13" i="8"/>
  <c r="AQ5" i="7"/>
  <c r="AQ6" i="7"/>
  <c r="AQ7" i="7"/>
  <c r="AQ8" i="7"/>
  <c r="AQ9" i="7"/>
  <c r="AQ10" i="7"/>
  <c r="AQ11" i="7"/>
  <c r="AQ12" i="7"/>
  <c r="AQ13" i="7"/>
  <c r="AQ14" i="7"/>
  <c r="AQ15" i="7"/>
  <c r="AQ16" i="7"/>
  <c r="AQ17" i="7"/>
  <c r="AQ18" i="7"/>
  <c r="AQ19" i="7"/>
  <c r="AQ20" i="7"/>
  <c r="AQ21" i="7"/>
  <c r="AQ22" i="7"/>
  <c r="AQ23" i="7"/>
  <c r="AQ24" i="7"/>
  <c r="AQ25" i="7"/>
  <c r="AQ26" i="7"/>
  <c r="AQ27" i="7"/>
  <c r="AQ28" i="7"/>
  <c r="AQ5" i="6"/>
  <c r="AQ6" i="6"/>
  <c r="AQ7" i="6"/>
  <c r="AQ8" i="6"/>
  <c r="AQ9" i="6"/>
  <c r="AQ10" i="6"/>
  <c r="AQ11" i="6"/>
  <c r="AQ12" i="6"/>
  <c r="AQ13" i="6"/>
  <c r="AQ14" i="6"/>
  <c r="AQ15" i="6"/>
  <c r="AQ16" i="6"/>
  <c r="AQ17" i="6"/>
  <c r="AQ18" i="6"/>
  <c r="AQ19" i="6"/>
  <c r="AQ20" i="6"/>
  <c r="AQ21" i="6"/>
  <c r="AQ22" i="6"/>
  <c r="AQ23" i="6"/>
  <c r="AQ24" i="6"/>
  <c r="AQ25" i="6"/>
  <c r="AQ26" i="6"/>
  <c r="AQ27" i="6"/>
  <c r="AQ28" i="6"/>
  <c r="AQ29" i="6"/>
  <c r="AQ30" i="6"/>
  <c r="AQ31" i="6"/>
  <c r="AQ5" i="5"/>
  <c r="AQ6" i="5"/>
  <c r="AQ7" i="5"/>
  <c r="AQ8" i="5"/>
  <c r="AQ9" i="5"/>
  <c r="AQ10" i="5"/>
  <c r="AQ11" i="5"/>
  <c r="AQ12" i="5"/>
  <c r="AQ13" i="5"/>
  <c r="AQ14" i="5"/>
  <c r="AQ15" i="5"/>
  <c r="AQ16" i="5"/>
  <c r="AQ17" i="5"/>
  <c r="AQ18" i="5"/>
  <c r="AQ19" i="5"/>
  <c r="AQ20" i="5"/>
  <c r="AQ21" i="5"/>
  <c r="AQ22" i="5"/>
  <c r="AQ23" i="5"/>
  <c r="AQ24" i="5"/>
  <c r="AQ25" i="5"/>
  <c r="AQ26" i="5"/>
  <c r="AQ27" i="5"/>
  <c r="AQ28" i="5"/>
  <c r="AQ29" i="5"/>
  <c r="AQ30" i="5"/>
  <c r="AQ31" i="5"/>
  <c r="AQ32" i="5"/>
  <c r="AQ33" i="5"/>
  <c r="AQ34" i="5"/>
  <c r="AQ35" i="5"/>
  <c r="AQ5" i="3"/>
  <c r="AQ6" i="3"/>
  <c r="AQ7" i="3"/>
  <c r="AQ8" i="3"/>
  <c r="AQ9" i="3"/>
  <c r="AQ10" i="3"/>
  <c r="AQ11" i="3"/>
  <c r="AQ12" i="3"/>
  <c r="AQ13" i="3"/>
  <c r="AQ14" i="3"/>
  <c r="AQ15" i="3"/>
  <c r="AQ16" i="3"/>
  <c r="AQ17" i="3"/>
  <c r="AQ18" i="3"/>
  <c r="AQ19" i="3"/>
  <c r="AQ20" i="3"/>
  <c r="AQ21" i="3"/>
  <c r="AQ22" i="3"/>
  <c r="AQ23" i="3"/>
  <c r="AQ24" i="3"/>
  <c r="AQ25" i="3"/>
  <c r="AQ26" i="3"/>
  <c r="AQ27" i="3"/>
  <c r="AQ28" i="3"/>
  <c r="AQ29" i="3"/>
  <c r="AQ30" i="3"/>
  <c r="AQ31" i="3"/>
  <c r="AQ32" i="3"/>
  <c r="AQ33" i="3"/>
  <c r="AQ34" i="3"/>
  <c r="AQ35" i="3"/>
  <c r="AQ36" i="3"/>
  <c r="AQ5" i="1"/>
  <c r="AQ6" i="1"/>
  <c r="AQ7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P5" i="4"/>
  <c r="AP6" i="4"/>
  <c r="AP7" i="4"/>
  <c r="AP8" i="4"/>
  <c r="AP9" i="4"/>
  <c r="AP10" i="4"/>
  <c r="AP11" i="4"/>
  <c r="AP12" i="4"/>
  <c r="AP13" i="4"/>
  <c r="AP14" i="4"/>
  <c r="AP15" i="4"/>
  <c r="AP16" i="4"/>
  <c r="AP17" i="4"/>
  <c r="AP18" i="4"/>
  <c r="AP19" i="4"/>
  <c r="AP20" i="4"/>
  <c r="AP21" i="4"/>
  <c r="AP22" i="4"/>
  <c r="AP23" i="4"/>
  <c r="AP24" i="4"/>
  <c r="AP25" i="4"/>
  <c r="AP26" i="4"/>
  <c r="AP27" i="4"/>
  <c r="AP28" i="4"/>
  <c r="AP29" i="4"/>
  <c r="AP30" i="4"/>
  <c r="AP31" i="4"/>
  <c r="AP32" i="4"/>
  <c r="AP33" i="4"/>
  <c r="AP34" i="4"/>
  <c r="AP35" i="4"/>
  <c r="AP36" i="4"/>
  <c r="AP37" i="4"/>
  <c r="AP38" i="4"/>
  <c r="AP39" i="4"/>
  <c r="AP40" i="4"/>
  <c r="AP41" i="4"/>
  <c r="AP42" i="4"/>
  <c r="AP5" i="1"/>
  <c r="AP6" i="1"/>
  <c r="AP7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5" i="3"/>
  <c r="AP6" i="3"/>
  <c r="AP7" i="3"/>
  <c r="AP8" i="3"/>
  <c r="AP9" i="3"/>
  <c r="AP10" i="3"/>
  <c r="AP11" i="3"/>
  <c r="AP12" i="3"/>
  <c r="AP13" i="3"/>
  <c r="AP14" i="3"/>
  <c r="AP15" i="3"/>
  <c r="AP16" i="3"/>
  <c r="AP17" i="3"/>
  <c r="AP18" i="3"/>
  <c r="AP19" i="3"/>
  <c r="AP20" i="3"/>
  <c r="AP21" i="3"/>
  <c r="AP22" i="3"/>
  <c r="AP23" i="3"/>
  <c r="AP24" i="3"/>
  <c r="AP25" i="3"/>
  <c r="AP26" i="3"/>
  <c r="AP27" i="3"/>
  <c r="AP28" i="3"/>
  <c r="AP29" i="3"/>
  <c r="AP30" i="3"/>
  <c r="AP31" i="3"/>
  <c r="AP32" i="3"/>
  <c r="AP33" i="3"/>
  <c r="AP34" i="3"/>
  <c r="AP35" i="3"/>
  <c r="AP36" i="3"/>
  <c r="AP5" i="5"/>
  <c r="AP6" i="5"/>
  <c r="AP7" i="5"/>
  <c r="AP8" i="5"/>
  <c r="AP9" i="5"/>
  <c r="AP10" i="5"/>
  <c r="AP11" i="5"/>
  <c r="AP12" i="5"/>
  <c r="AP13" i="5"/>
  <c r="AP14" i="5"/>
  <c r="AP15" i="5"/>
  <c r="AP16" i="5"/>
  <c r="AP17" i="5"/>
  <c r="AP18" i="5"/>
  <c r="AP19" i="5"/>
  <c r="AP20" i="5"/>
  <c r="AP21" i="5"/>
  <c r="AP22" i="5"/>
  <c r="AP23" i="5"/>
  <c r="AP24" i="5"/>
  <c r="AP25" i="5"/>
  <c r="AP26" i="5"/>
  <c r="AP27" i="5"/>
  <c r="AP28" i="5"/>
  <c r="AP29" i="5"/>
  <c r="AP30" i="5"/>
  <c r="AP31" i="5"/>
  <c r="AP32" i="5"/>
  <c r="AP33" i="5"/>
  <c r="AP34" i="5"/>
  <c r="AP5" i="6"/>
  <c r="AP6" i="6"/>
  <c r="AP7" i="6"/>
  <c r="AP8" i="6"/>
  <c r="AP9" i="6"/>
  <c r="AP10" i="6"/>
  <c r="AP11" i="6"/>
  <c r="AP12" i="6"/>
  <c r="AP13" i="6"/>
  <c r="AP14" i="6"/>
  <c r="AP15" i="6"/>
  <c r="AP16" i="6"/>
  <c r="AP17" i="6"/>
  <c r="AP18" i="6"/>
  <c r="AP19" i="6"/>
  <c r="AP20" i="6"/>
  <c r="AP21" i="6"/>
  <c r="AP22" i="6"/>
  <c r="AP23" i="6"/>
  <c r="AP24" i="6"/>
  <c r="AP25" i="6"/>
  <c r="AP26" i="6"/>
  <c r="AP27" i="6"/>
  <c r="AP28" i="6"/>
  <c r="AP29" i="6"/>
  <c r="AP30" i="6"/>
  <c r="AP31" i="6"/>
  <c r="AP5" i="7"/>
  <c r="AP6" i="7"/>
  <c r="AP7" i="7"/>
  <c r="AP8" i="7"/>
  <c r="AP9" i="7"/>
  <c r="AP10" i="7"/>
  <c r="AP11" i="7"/>
  <c r="AP12" i="7"/>
  <c r="AP13" i="7"/>
  <c r="AP14" i="7"/>
  <c r="AP15" i="7"/>
  <c r="AP16" i="7"/>
  <c r="AP17" i="7"/>
  <c r="AP18" i="7"/>
  <c r="AP19" i="7"/>
  <c r="AP20" i="7"/>
  <c r="AP21" i="7"/>
  <c r="AP22" i="7"/>
  <c r="AP23" i="7"/>
  <c r="AP24" i="7"/>
  <c r="AP25" i="7"/>
  <c r="AP26" i="7"/>
  <c r="AP27" i="7"/>
  <c r="AP28" i="7"/>
  <c r="AP5" i="8"/>
  <c r="AP6" i="8"/>
  <c r="AP7" i="8"/>
  <c r="AP8" i="8"/>
  <c r="AP9" i="8"/>
  <c r="AP10" i="8"/>
  <c r="AP11" i="8"/>
  <c r="AP12" i="8"/>
  <c r="AP13" i="8"/>
  <c r="AP4" i="8"/>
  <c r="AP4" i="7"/>
  <c r="AP4" i="6"/>
  <c r="AP4" i="5"/>
  <c r="AP4" i="3"/>
  <c r="AP4" i="1"/>
  <c r="AP4" i="4"/>
  <c r="AO5" i="1"/>
  <c r="AO6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5" i="3"/>
  <c r="AO6" i="3"/>
  <c r="AO7" i="3"/>
  <c r="AO8" i="3"/>
  <c r="AO9" i="3"/>
  <c r="AO10" i="3"/>
  <c r="AO11" i="3"/>
  <c r="AO12" i="3"/>
  <c r="AO13" i="3"/>
  <c r="AO14" i="3"/>
  <c r="AO15" i="3"/>
  <c r="AO16" i="3"/>
  <c r="AO17" i="3"/>
  <c r="AO18" i="3"/>
  <c r="AO19" i="3"/>
  <c r="AO20" i="3"/>
  <c r="AO21" i="3"/>
  <c r="AO22" i="3"/>
  <c r="AO23" i="3"/>
  <c r="AO24" i="3"/>
  <c r="AO25" i="3"/>
  <c r="AO26" i="3"/>
  <c r="AO27" i="3"/>
  <c r="AO28" i="3"/>
  <c r="AO29" i="3"/>
  <c r="AO30" i="3"/>
  <c r="AO31" i="3"/>
  <c r="AO32" i="3"/>
  <c r="AO33" i="3"/>
  <c r="AO34" i="3"/>
  <c r="AO35" i="3"/>
  <c r="AO36" i="3"/>
  <c r="AO5" i="5"/>
  <c r="AO6" i="5"/>
  <c r="AO7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5" i="6"/>
  <c r="AO6" i="6"/>
  <c r="AO7" i="6"/>
  <c r="AO8" i="6"/>
  <c r="AO9" i="6"/>
  <c r="AO10" i="6"/>
  <c r="AO11" i="6"/>
  <c r="AO12" i="6"/>
  <c r="AO13" i="6"/>
  <c r="AO14" i="6"/>
  <c r="AO15" i="6"/>
  <c r="AO16" i="6"/>
  <c r="AO17" i="6"/>
  <c r="AO18" i="6"/>
  <c r="AO19" i="6"/>
  <c r="AO20" i="6"/>
  <c r="AO21" i="6"/>
  <c r="AO22" i="6"/>
  <c r="AO23" i="6"/>
  <c r="AO24" i="6"/>
  <c r="AO25" i="6"/>
  <c r="AO26" i="6"/>
  <c r="AO27" i="6"/>
  <c r="AO28" i="6"/>
  <c r="AO29" i="6"/>
  <c r="AO30" i="6"/>
  <c r="AO31" i="6"/>
  <c r="AO5" i="7"/>
  <c r="AO6" i="7"/>
  <c r="AO7" i="7"/>
  <c r="AO8" i="7"/>
  <c r="AO9" i="7"/>
  <c r="AO10" i="7"/>
  <c r="AO11" i="7"/>
  <c r="AO12" i="7"/>
  <c r="AO13" i="7"/>
  <c r="AO14" i="7"/>
  <c r="AO15" i="7"/>
  <c r="AO16" i="7"/>
  <c r="AO17" i="7"/>
  <c r="AO18" i="7"/>
  <c r="AO19" i="7"/>
  <c r="AO20" i="7"/>
  <c r="AO21" i="7"/>
  <c r="AO22" i="7"/>
  <c r="AO23" i="7"/>
  <c r="AO24" i="7"/>
  <c r="AO25" i="7"/>
  <c r="AO26" i="7"/>
  <c r="AO27" i="7"/>
  <c r="AO28" i="7"/>
  <c r="AO5" i="8"/>
  <c r="AO6" i="8"/>
  <c r="AO7" i="8"/>
  <c r="AO8" i="8"/>
  <c r="AO9" i="8"/>
  <c r="AO10" i="8"/>
  <c r="AO11" i="8"/>
  <c r="AO12" i="8"/>
  <c r="AO13" i="8"/>
  <c r="AO4" i="8"/>
  <c r="AO4" i="7"/>
  <c r="AO4" i="6"/>
  <c r="AO4" i="5"/>
  <c r="AO4" i="3"/>
  <c r="AO4" i="1"/>
  <c r="AO5" i="4"/>
  <c r="AO6" i="4"/>
  <c r="AO7" i="4"/>
  <c r="AO8" i="4"/>
  <c r="AO9" i="4"/>
  <c r="AO10" i="4"/>
  <c r="AO11" i="4"/>
  <c r="AO12" i="4"/>
  <c r="AO13" i="4"/>
  <c r="AO14" i="4"/>
  <c r="AO15" i="4"/>
  <c r="AO16" i="4"/>
  <c r="AO17" i="4"/>
  <c r="AO18" i="4"/>
  <c r="AO19" i="4"/>
  <c r="AO20" i="4"/>
  <c r="AO21" i="4"/>
  <c r="AO22" i="4"/>
  <c r="AO23" i="4"/>
  <c r="AO24" i="4"/>
  <c r="AO25" i="4"/>
  <c r="AO26" i="4"/>
  <c r="AO27" i="4"/>
  <c r="AO28" i="4"/>
  <c r="AO29" i="4"/>
  <c r="AO30" i="4"/>
  <c r="AO31" i="4"/>
  <c r="AO32" i="4"/>
  <c r="AO33" i="4"/>
  <c r="AO34" i="4"/>
  <c r="AO35" i="4"/>
  <c r="AO36" i="4"/>
  <c r="AO37" i="4"/>
  <c r="AO38" i="4"/>
  <c r="AO39" i="4"/>
  <c r="AO40" i="4"/>
  <c r="AO41" i="4"/>
  <c r="AO42" i="4"/>
  <c r="AO4" i="4"/>
  <c r="AB4" i="5"/>
  <c r="Z4" i="5"/>
  <c r="AE5" i="4"/>
  <c r="AE6" i="4"/>
  <c r="AE7" i="4"/>
  <c r="AE8" i="4"/>
  <c r="AE9" i="4"/>
  <c r="AE10" i="4"/>
  <c r="AE11" i="4"/>
  <c r="AE12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39" i="4"/>
  <c r="AE40" i="4"/>
  <c r="AE41" i="4"/>
  <c r="AE42" i="4"/>
  <c r="AH5" i="8"/>
  <c r="AH6" i="8"/>
  <c r="AH7" i="8"/>
  <c r="AH8" i="8"/>
  <c r="AH9" i="8"/>
  <c r="AH10" i="8"/>
  <c r="AH11" i="8"/>
  <c r="AH12" i="8"/>
  <c r="AH13" i="8"/>
  <c r="AH4" i="8"/>
  <c r="AH5" i="7"/>
  <c r="AH6" i="7"/>
  <c r="AH7" i="7"/>
  <c r="AH8" i="7"/>
  <c r="AH9" i="7"/>
  <c r="AH10" i="7"/>
  <c r="AH11" i="7"/>
  <c r="AH12" i="7"/>
  <c r="AH13" i="7"/>
  <c r="AH14" i="7"/>
  <c r="AH15" i="7"/>
  <c r="AH16" i="7"/>
  <c r="AH17" i="7"/>
  <c r="AH18" i="7"/>
  <c r="AH19" i="7"/>
  <c r="AH20" i="7"/>
  <c r="AH21" i="7"/>
  <c r="AH22" i="7"/>
  <c r="AH23" i="7"/>
  <c r="AH24" i="7"/>
  <c r="AH25" i="7"/>
  <c r="AH26" i="7"/>
  <c r="AH27" i="7"/>
  <c r="AH28" i="7"/>
  <c r="AH4" i="7"/>
  <c r="AH5" i="6"/>
  <c r="AH6" i="6"/>
  <c r="AH7" i="6"/>
  <c r="AH8" i="6"/>
  <c r="AH9" i="6"/>
  <c r="AH10" i="6"/>
  <c r="AH11" i="6"/>
  <c r="AH12" i="6"/>
  <c r="AH13" i="6"/>
  <c r="AH14" i="6"/>
  <c r="AH15" i="6"/>
  <c r="AH16" i="6"/>
  <c r="AH17" i="6"/>
  <c r="AH18" i="6"/>
  <c r="AH19" i="6"/>
  <c r="AH20" i="6"/>
  <c r="AH21" i="6"/>
  <c r="AH22" i="6"/>
  <c r="AH23" i="6"/>
  <c r="AH24" i="6"/>
  <c r="AH25" i="6"/>
  <c r="AH26" i="6"/>
  <c r="AH27" i="6"/>
  <c r="AH28" i="6"/>
  <c r="AH29" i="6"/>
  <c r="AH30" i="6"/>
  <c r="AH31" i="6"/>
  <c r="AH4" i="6"/>
  <c r="AH5" i="5"/>
  <c r="AH6" i="5"/>
  <c r="AH7" i="5"/>
  <c r="AH8" i="5"/>
  <c r="AH9" i="5"/>
  <c r="AH10" i="5"/>
  <c r="AH11" i="5"/>
  <c r="AH12" i="5"/>
  <c r="AH13" i="5"/>
  <c r="AH14" i="5"/>
  <c r="AH15" i="5"/>
  <c r="AH16" i="5"/>
  <c r="AH17" i="5"/>
  <c r="AH18" i="5"/>
  <c r="AH19" i="5"/>
  <c r="AH20" i="5"/>
  <c r="AH21" i="5"/>
  <c r="AH22" i="5"/>
  <c r="AH23" i="5"/>
  <c r="AH24" i="5"/>
  <c r="AH25" i="5"/>
  <c r="AH26" i="5"/>
  <c r="AH27" i="5"/>
  <c r="AH28" i="5"/>
  <c r="AH29" i="5"/>
  <c r="AH30" i="5"/>
  <c r="AH31" i="5"/>
  <c r="AH32" i="5"/>
  <c r="AH33" i="5"/>
  <c r="AH34" i="5"/>
  <c r="AH4" i="5"/>
  <c r="AH5" i="3"/>
  <c r="AH6" i="3"/>
  <c r="AH7" i="3"/>
  <c r="AH8" i="3"/>
  <c r="AH9" i="3"/>
  <c r="AH10" i="3"/>
  <c r="AH11" i="3"/>
  <c r="AH12" i="3"/>
  <c r="AH13" i="3"/>
  <c r="AH14" i="3"/>
  <c r="AH15" i="3"/>
  <c r="AH16" i="3"/>
  <c r="AH17" i="3"/>
  <c r="AH18" i="3"/>
  <c r="AH19" i="3"/>
  <c r="AH20" i="3"/>
  <c r="AH21" i="3"/>
  <c r="AH22" i="3"/>
  <c r="AH23" i="3"/>
  <c r="AH24" i="3"/>
  <c r="AH25" i="3"/>
  <c r="AH26" i="3"/>
  <c r="AH27" i="3"/>
  <c r="AH28" i="3"/>
  <c r="AH29" i="3"/>
  <c r="AH30" i="3"/>
  <c r="AH31" i="3"/>
  <c r="AH32" i="3"/>
  <c r="AH33" i="3"/>
  <c r="AH34" i="3"/>
  <c r="AH35" i="3"/>
  <c r="AH36" i="3"/>
  <c r="AH4" i="3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" i="1"/>
  <c r="AH5" i="4"/>
  <c r="AH6" i="4"/>
  <c r="AH7" i="4"/>
  <c r="AH8" i="4"/>
  <c r="AH9" i="4"/>
  <c r="AH10" i="4"/>
  <c r="AH11" i="4"/>
  <c r="AH12" i="4"/>
  <c r="AH13" i="4"/>
  <c r="AH14" i="4"/>
  <c r="AH15" i="4"/>
  <c r="AH16" i="4"/>
  <c r="AH17" i="4"/>
  <c r="AH18" i="4"/>
  <c r="AH19" i="4"/>
  <c r="AH20" i="4"/>
  <c r="AH21" i="4"/>
  <c r="AH22" i="4"/>
  <c r="AH23" i="4"/>
  <c r="AH24" i="4"/>
  <c r="AH25" i="4"/>
  <c r="AH26" i="4"/>
  <c r="AH27" i="4"/>
  <c r="AH28" i="4"/>
  <c r="AH29" i="4"/>
  <c r="AH30" i="4"/>
  <c r="AH31" i="4"/>
  <c r="AH32" i="4"/>
  <c r="AH33" i="4"/>
  <c r="AH34" i="4"/>
  <c r="AH35" i="4"/>
  <c r="AH36" i="4"/>
  <c r="AH37" i="4"/>
  <c r="AH38" i="4"/>
  <c r="AH39" i="4"/>
  <c r="AH40" i="4"/>
  <c r="AH41" i="4"/>
  <c r="AH42" i="4"/>
  <c r="AH4" i="4"/>
  <c r="R38" i="1"/>
  <c r="S38" i="1"/>
  <c r="T38" i="1"/>
  <c r="U38" i="1"/>
  <c r="V38" i="1"/>
  <c r="W38" i="1"/>
  <c r="X38" i="1"/>
  <c r="Y38" i="1"/>
  <c r="Z38" i="1"/>
  <c r="AA38" i="1"/>
  <c r="AB38" i="1"/>
  <c r="AC38" i="1"/>
  <c r="AE38" i="1"/>
  <c r="AG38" i="1"/>
  <c r="AI38" i="1"/>
  <c r="AJ38" i="1"/>
  <c r="AK38" i="1"/>
  <c r="AM38" i="1"/>
  <c r="AN38" i="1"/>
  <c r="R39" i="1"/>
  <c r="S39" i="1"/>
  <c r="T39" i="1"/>
  <c r="U39" i="1"/>
  <c r="V39" i="1"/>
  <c r="W39" i="1"/>
  <c r="X39" i="1"/>
  <c r="Y39" i="1"/>
  <c r="Z39" i="1"/>
  <c r="AA39" i="1"/>
  <c r="AB39" i="1"/>
  <c r="AC39" i="1"/>
  <c r="AE39" i="1"/>
  <c r="AG39" i="1"/>
  <c r="AI39" i="1"/>
  <c r="AJ39" i="1"/>
  <c r="AK39" i="1"/>
  <c r="AM39" i="1"/>
  <c r="AN39" i="1"/>
  <c r="R40" i="1"/>
  <c r="S40" i="1"/>
  <c r="T40" i="1"/>
  <c r="U40" i="1"/>
  <c r="V40" i="1"/>
  <c r="W40" i="1"/>
  <c r="X40" i="1"/>
  <c r="Y40" i="1"/>
  <c r="Z40" i="1"/>
  <c r="AA40" i="1"/>
  <c r="AB40" i="1"/>
  <c r="AC40" i="1"/>
  <c r="AE40" i="1"/>
  <c r="AG40" i="1"/>
  <c r="AI40" i="1"/>
  <c r="AJ40" i="1"/>
  <c r="AK40" i="1"/>
  <c r="AM40" i="1"/>
  <c r="AN40" i="1"/>
  <c r="R5" i="8"/>
  <c r="S5" i="8"/>
  <c r="T5" i="8"/>
  <c r="U5" i="8"/>
  <c r="R6" i="8"/>
  <c r="S6" i="8"/>
  <c r="T6" i="8"/>
  <c r="U6" i="8"/>
  <c r="R7" i="8"/>
  <c r="S7" i="8"/>
  <c r="T7" i="8"/>
  <c r="U7" i="8"/>
  <c r="R8" i="8"/>
  <c r="S8" i="8"/>
  <c r="T8" i="8"/>
  <c r="U8" i="8"/>
  <c r="R9" i="8"/>
  <c r="S9" i="8"/>
  <c r="T9" i="8"/>
  <c r="U9" i="8"/>
  <c r="R10" i="8"/>
  <c r="S10" i="8"/>
  <c r="T10" i="8"/>
  <c r="U10" i="8"/>
  <c r="R11" i="8"/>
  <c r="S11" i="8"/>
  <c r="T11" i="8"/>
  <c r="U11" i="8"/>
  <c r="R12" i="8"/>
  <c r="S12" i="8"/>
  <c r="T12" i="8"/>
  <c r="U12" i="8"/>
  <c r="R13" i="8"/>
  <c r="S13" i="8"/>
  <c r="T13" i="8"/>
  <c r="U13" i="8"/>
  <c r="S4" i="8"/>
  <c r="T4" i="8"/>
  <c r="U4" i="8"/>
  <c r="R5" i="7"/>
  <c r="S5" i="7"/>
  <c r="T5" i="7"/>
  <c r="U5" i="7"/>
  <c r="R6" i="7"/>
  <c r="S6" i="7"/>
  <c r="T6" i="7"/>
  <c r="U6" i="7"/>
  <c r="R7" i="7"/>
  <c r="S7" i="7"/>
  <c r="T7" i="7"/>
  <c r="U7" i="7"/>
  <c r="R8" i="7"/>
  <c r="S8" i="7"/>
  <c r="T8" i="7"/>
  <c r="U8" i="7"/>
  <c r="R9" i="7"/>
  <c r="S9" i="7"/>
  <c r="T9" i="7"/>
  <c r="U9" i="7"/>
  <c r="R10" i="7"/>
  <c r="S10" i="7"/>
  <c r="T10" i="7"/>
  <c r="U10" i="7"/>
  <c r="R11" i="7"/>
  <c r="S11" i="7"/>
  <c r="T11" i="7"/>
  <c r="U11" i="7"/>
  <c r="R12" i="7"/>
  <c r="S12" i="7"/>
  <c r="T12" i="7"/>
  <c r="U12" i="7"/>
  <c r="R13" i="7"/>
  <c r="S13" i="7"/>
  <c r="T13" i="7"/>
  <c r="U13" i="7"/>
  <c r="R14" i="7"/>
  <c r="S14" i="7"/>
  <c r="T14" i="7"/>
  <c r="U14" i="7"/>
  <c r="R15" i="7"/>
  <c r="S15" i="7"/>
  <c r="T15" i="7"/>
  <c r="U15" i="7"/>
  <c r="R16" i="7"/>
  <c r="S16" i="7"/>
  <c r="T16" i="7"/>
  <c r="U16" i="7"/>
  <c r="R17" i="7"/>
  <c r="S17" i="7"/>
  <c r="T17" i="7"/>
  <c r="U17" i="7"/>
  <c r="R18" i="7"/>
  <c r="S18" i="7"/>
  <c r="T18" i="7"/>
  <c r="U18" i="7"/>
  <c r="R19" i="7"/>
  <c r="S19" i="7"/>
  <c r="T19" i="7"/>
  <c r="U19" i="7"/>
  <c r="R20" i="7"/>
  <c r="S20" i="7"/>
  <c r="T20" i="7"/>
  <c r="U20" i="7"/>
  <c r="R21" i="7"/>
  <c r="S21" i="7"/>
  <c r="T21" i="7"/>
  <c r="U21" i="7"/>
  <c r="R22" i="7"/>
  <c r="S22" i="7"/>
  <c r="T22" i="7"/>
  <c r="U22" i="7"/>
  <c r="R23" i="7"/>
  <c r="S23" i="7"/>
  <c r="T23" i="7"/>
  <c r="U23" i="7"/>
  <c r="R24" i="7"/>
  <c r="S24" i="7"/>
  <c r="T24" i="7"/>
  <c r="U24" i="7"/>
  <c r="R25" i="7"/>
  <c r="S25" i="7"/>
  <c r="T25" i="7"/>
  <c r="U25" i="7"/>
  <c r="R26" i="7"/>
  <c r="S26" i="7"/>
  <c r="T26" i="7"/>
  <c r="U26" i="7"/>
  <c r="R27" i="7"/>
  <c r="S27" i="7"/>
  <c r="T27" i="7"/>
  <c r="U27" i="7"/>
  <c r="R28" i="7"/>
  <c r="S28" i="7"/>
  <c r="T28" i="7"/>
  <c r="U28" i="7"/>
  <c r="S4" i="7"/>
  <c r="T4" i="7"/>
  <c r="U4" i="7"/>
  <c r="R5" i="6"/>
  <c r="S5" i="6"/>
  <c r="T5" i="6"/>
  <c r="U5" i="6"/>
  <c r="R6" i="6"/>
  <c r="S6" i="6"/>
  <c r="T6" i="6"/>
  <c r="U6" i="6"/>
  <c r="R7" i="6"/>
  <c r="S7" i="6"/>
  <c r="T7" i="6"/>
  <c r="U7" i="6"/>
  <c r="R8" i="6"/>
  <c r="S8" i="6"/>
  <c r="T8" i="6"/>
  <c r="U8" i="6"/>
  <c r="R9" i="6"/>
  <c r="S9" i="6"/>
  <c r="T9" i="6"/>
  <c r="U9" i="6"/>
  <c r="R10" i="6"/>
  <c r="S10" i="6"/>
  <c r="T10" i="6"/>
  <c r="U10" i="6"/>
  <c r="R11" i="6"/>
  <c r="S11" i="6"/>
  <c r="T11" i="6"/>
  <c r="U11" i="6"/>
  <c r="R12" i="6"/>
  <c r="S12" i="6"/>
  <c r="T12" i="6"/>
  <c r="U12" i="6"/>
  <c r="R13" i="6"/>
  <c r="S13" i="6"/>
  <c r="T13" i="6"/>
  <c r="U13" i="6"/>
  <c r="R14" i="6"/>
  <c r="S14" i="6"/>
  <c r="T14" i="6"/>
  <c r="U14" i="6"/>
  <c r="R15" i="6"/>
  <c r="S15" i="6"/>
  <c r="T15" i="6"/>
  <c r="U15" i="6"/>
  <c r="R16" i="6"/>
  <c r="S16" i="6"/>
  <c r="T16" i="6"/>
  <c r="U16" i="6"/>
  <c r="R17" i="6"/>
  <c r="S17" i="6"/>
  <c r="T17" i="6"/>
  <c r="U17" i="6"/>
  <c r="R18" i="6"/>
  <c r="S18" i="6"/>
  <c r="T18" i="6"/>
  <c r="U18" i="6"/>
  <c r="R19" i="6"/>
  <c r="S19" i="6"/>
  <c r="T19" i="6"/>
  <c r="U19" i="6"/>
  <c r="R20" i="6"/>
  <c r="S20" i="6"/>
  <c r="T20" i="6"/>
  <c r="U20" i="6"/>
  <c r="R21" i="6"/>
  <c r="S21" i="6"/>
  <c r="T21" i="6"/>
  <c r="U21" i="6"/>
  <c r="R22" i="6"/>
  <c r="S22" i="6"/>
  <c r="T22" i="6"/>
  <c r="U22" i="6"/>
  <c r="R23" i="6"/>
  <c r="S23" i="6"/>
  <c r="T23" i="6"/>
  <c r="U23" i="6"/>
  <c r="R24" i="6"/>
  <c r="S24" i="6"/>
  <c r="T24" i="6"/>
  <c r="U24" i="6"/>
  <c r="R25" i="6"/>
  <c r="S25" i="6"/>
  <c r="T25" i="6"/>
  <c r="U25" i="6"/>
  <c r="R26" i="6"/>
  <c r="S26" i="6"/>
  <c r="T26" i="6"/>
  <c r="U26" i="6"/>
  <c r="R27" i="6"/>
  <c r="S27" i="6"/>
  <c r="T27" i="6"/>
  <c r="U27" i="6"/>
  <c r="R28" i="6"/>
  <c r="S28" i="6"/>
  <c r="T28" i="6"/>
  <c r="U28" i="6"/>
  <c r="R29" i="6"/>
  <c r="S29" i="6"/>
  <c r="T29" i="6"/>
  <c r="U29" i="6"/>
  <c r="R30" i="6"/>
  <c r="S30" i="6"/>
  <c r="T30" i="6"/>
  <c r="U30" i="6"/>
  <c r="R31" i="6"/>
  <c r="S31" i="6"/>
  <c r="T31" i="6"/>
  <c r="U31" i="6"/>
  <c r="S4" i="6"/>
  <c r="T4" i="6"/>
  <c r="U4" i="6"/>
  <c r="R5" i="3"/>
  <c r="S5" i="3"/>
  <c r="T5" i="3"/>
  <c r="U5" i="3"/>
  <c r="R6" i="3"/>
  <c r="S6" i="3"/>
  <c r="T6" i="3"/>
  <c r="U6" i="3"/>
  <c r="R7" i="3"/>
  <c r="S7" i="3"/>
  <c r="T7" i="3"/>
  <c r="U7" i="3"/>
  <c r="R8" i="3"/>
  <c r="S8" i="3"/>
  <c r="T8" i="3"/>
  <c r="U8" i="3"/>
  <c r="R9" i="3"/>
  <c r="S9" i="3"/>
  <c r="T9" i="3"/>
  <c r="U9" i="3"/>
  <c r="R10" i="3"/>
  <c r="S10" i="3"/>
  <c r="T10" i="3"/>
  <c r="U10" i="3"/>
  <c r="R11" i="3"/>
  <c r="S11" i="3"/>
  <c r="T11" i="3"/>
  <c r="U11" i="3"/>
  <c r="R12" i="3"/>
  <c r="S12" i="3"/>
  <c r="T12" i="3"/>
  <c r="U12" i="3"/>
  <c r="R13" i="3"/>
  <c r="S13" i="3"/>
  <c r="T13" i="3"/>
  <c r="U13" i="3"/>
  <c r="R14" i="3"/>
  <c r="S14" i="3"/>
  <c r="T14" i="3"/>
  <c r="U14" i="3"/>
  <c r="R15" i="3"/>
  <c r="S15" i="3"/>
  <c r="T15" i="3"/>
  <c r="U15" i="3"/>
  <c r="R16" i="3"/>
  <c r="S16" i="3"/>
  <c r="T16" i="3"/>
  <c r="U16" i="3"/>
  <c r="R17" i="3"/>
  <c r="S17" i="3"/>
  <c r="T17" i="3"/>
  <c r="U17" i="3"/>
  <c r="R18" i="3"/>
  <c r="S18" i="3"/>
  <c r="T18" i="3"/>
  <c r="U18" i="3"/>
  <c r="R19" i="3"/>
  <c r="S19" i="3"/>
  <c r="T19" i="3"/>
  <c r="U19" i="3"/>
  <c r="R20" i="3"/>
  <c r="S20" i="3"/>
  <c r="T20" i="3"/>
  <c r="U20" i="3"/>
  <c r="R21" i="3"/>
  <c r="S21" i="3"/>
  <c r="T21" i="3"/>
  <c r="U21" i="3"/>
  <c r="R22" i="3"/>
  <c r="S22" i="3"/>
  <c r="T22" i="3"/>
  <c r="U22" i="3"/>
  <c r="R23" i="3"/>
  <c r="S23" i="3"/>
  <c r="T23" i="3"/>
  <c r="U23" i="3"/>
  <c r="R24" i="3"/>
  <c r="S24" i="3"/>
  <c r="T24" i="3"/>
  <c r="U24" i="3"/>
  <c r="R25" i="3"/>
  <c r="S25" i="3"/>
  <c r="T25" i="3"/>
  <c r="U25" i="3"/>
  <c r="R26" i="3"/>
  <c r="S26" i="3"/>
  <c r="T26" i="3"/>
  <c r="U26" i="3"/>
  <c r="R27" i="3"/>
  <c r="S27" i="3"/>
  <c r="T27" i="3"/>
  <c r="U27" i="3"/>
  <c r="R28" i="3"/>
  <c r="S28" i="3"/>
  <c r="T28" i="3"/>
  <c r="U28" i="3"/>
  <c r="R29" i="3"/>
  <c r="S29" i="3"/>
  <c r="T29" i="3"/>
  <c r="U29" i="3"/>
  <c r="R30" i="3"/>
  <c r="S30" i="3"/>
  <c r="T30" i="3"/>
  <c r="U30" i="3"/>
  <c r="R31" i="3"/>
  <c r="S31" i="3"/>
  <c r="T31" i="3"/>
  <c r="U31" i="3"/>
  <c r="R32" i="3"/>
  <c r="S32" i="3"/>
  <c r="T32" i="3"/>
  <c r="U32" i="3"/>
  <c r="R33" i="3"/>
  <c r="S33" i="3"/>
  <c r="T33" i="3"/>
  <c r="U33" i="3"/>
  <c r="R34" i="3"/>
  <c r="S34" i="3"/>
  <c r="T34" i="3"/>
  <c r="U34" i="3"/>
  <c r="R35" i="3"/>
  <c r="S35" i="3"/>
  <c r="T35" i="3"/>
  <c r="U35" i="3"/>
  <c r="R36" i="3"/>
  <c r="S36" i="3"/>
  <c r="T36" i="3"/>
  <c r="U36" i="3"/>
  <c r="S4" i="3"/>
  <c r="T4" i="3"/>
  <c r="U4" i="3"/>
  <c r="Q4" i="6"/>
  <c r="R4" i="6"/>
  <c r="V4" i="6"/>
  <c r="W4" i="6"/>
  <c r="X4" i="6"/>
  <c r="Y4" i="6"/>
  <c r="Z4" i="6"/>
  <c r="AA4" i="6"/>
  <c r="AB4" i="6"/>
  <c r="AC4" i="6"/>
  <c r="AE4" i="6"/>
  <c r="AG4" i="6"/>
  <c r="AI4" i="6"/>
  <c r="AJ4" i="6"/>
  <c r="AK4" i="6"/>
  <c r="AM4" i="6"/>
  <c r="AN4" i="6"/>
  <c r="V5" i="6"/>
  <c r="W5" i="6"/>
  <c r="X5" i="6"/>
  <c r="Y5" i="6"/>
  <c r="Z5" i="6"/>
  <c r="AA5" i="6"/>
  <c r="AB5" i="6"/>
  <c r="AC5" i="6"/>
  <c r="AE5" i="6"/>
  <c r="AG5" i="6"/>
  <c r="AI5" i="6"/>
  <c r="AJ5" i="6"/>
  <c r="AK5" i="6"/>
  <c r="AM5" i="6"/>
  <c r="AN5" i="6"/>
  <c r="V6" i="6"/>
  <c r="W6" i="6"/>
  <c r="X6" i="6"/>
  <c r="Y6" i="6"/>
  <c r="Z6" i="6"/>
  <c r="AA6" i="6"/>
  <c r="AB6" i="6"/>
  <c r="AC6" i="6"/>
  <c r="AE6" i="6"/>
  <c r="AG6" i="6"/>
  <c r="AI6" i="6"/>
  <c r="AJ6" i="6"/>
  <c r="AK6" i="6"/>
  <c r="AM6" i="6"/>
  <c r="AN6" i="6"/>
  <c r="Q7" i="6"/>
  <c r="V7" i="6"/>
  <c r="W7" i="6"/>
  <c r="X7" i="6"/>
  <c r="Y7" i="6"/>
  <c r="Z7" i="6"/>
  <c r="AA7" i="6"/>
  <c r="AB7" i="6"/>
  <c r="AC7" i="6"/>
  <c r="AE7" i="6"/>
  <c r="AG7" i="6"/>
  <c r="AI7" i="6"/>
  <c r="AJ7" i="6"/>
  <c r="AK7" i="6"/>
  <c r="AM7" i="6"/>
  <c r="AN7" i="6"/>
  <c r="Q8" i="6"/>
  <c r="V8" i="6"/>
  <c r="W8" i="6"/>
  <c r="X8" i="6"/>
  <c r="Y8" i="6"/>
  <c r="Z8" i="6"/>
  <c r="AA8" i="6"/>
  <c r="AB8" i="6"/>
  <c r="AC8" i="6"/>
  <c r="AE8" i="6"/>
  <c r="AG8" i="6"/>
  <c r="AI8" i="6"/>
  <c r="AJ8" i="6"/>
  <c r="AK8" i="6"/>
  <c r="AM8" i="6"/>
  <c r="AN8" i="6"/>
  <c r="Q9" i="6"/>
  <c r="V9" i="6"/>
  <c r="W9" i="6"/>
  <c r="X9" i="6"/>
  <c r="Y9" i="6"/>
  <c r="Z9" i="6"/>
  <c r="AA9" i="6"/>
  <c r="AB9" i="6"/>
  <c r="AC9" i="6"/>
  <c r="AE9" i="6"/>
  <c r="AG9" i="6"/>
  <c r="AI9" i="6"/>
  <c r="AJ9" i="6"/>
  <c r="AK9" i="6"/>
  <c r="AM9" i="6"/>
  <c r="AN9" i="6"/>
  <c r="Q10" i="6"/>
  <c r="V10" i="6"/>
  <c r="W10" i="6"/>
  <c r="X10" i="6"/>
  <c r="Y10" i="6"/>
  <c r="Z10" i="6"/>
  <c r="AA10" i="6"/>
  <c r="AB10" i="6"/>
  <c r="AC10" i="6"/>
  <c r="AE10" i="6"/>
  <c r="AG10" i="6"/>
  <c r="AI10" i="6"/>
  <c r="AJ10" i="6"/>
  <c r="AK10" i="6"/>
  <c r="AM10" i="6"/>
  <c r="AN10" i="6"/>
  <c r="V11" i="6"/>
  <c r="W11" i="6"/>
  <c r="X11" i="6"/>
  <c r="Y11" i="6"/>
  <c r="Z11" i="6"/>
  <c r="AA11" i="6"/>
  <c r="AB11" i="6"/>
  <c r="AC11" i="6"/>
  <c r="AE11" i="6"/>
  <c r="AG11" i="6"/>
  <c r="AI11" i="6"/>
  <c r="AJ11" i="6"/>
  <c r="AK11" i="6"/>
  <c r="AM11" i="6"/>
  <c r="AN11" i="6"/>
  <c r="Q12" i="6"/>
  <c r="V12" i="6"/>
  <c r="W12" i="6"/>
  <c r="X12" i="6"/>
  <c r="Y12" i="6"/>
  <c r="Z12" i="6"/>
  <c r="AA12" i="6"/>
  <c r="AB12" i="6"/>
  <c r="AC12" i="6"/>
  <c r="AE12" i="6"/>
  <c r="AG12" i="6"/>
  <c r="AI12" i="6"/>
  <c r="AJ12" i="6"/>
  <c r="AK12" i="6"/>
  <c r="AM12" i="6"/>
  <c r="AN12" i="6"/>
  <c r="Q13" i="6"/>
  <c r="V13" i="6"/>
  <c r="W13" i="6"/>
  <c r="X13" i="6"/>
  <c r="Y13" i="6"/>
  <c r="Z13" i="6"/>
  <c r="AA13" i="6"/>
  <c r="AB13" i="6"/>
  <c r="AC13" i="6"/>
  <c r="AE13" i="6"/>
  <c r="AG13" i="6"/>
  <c r="AI13" i="6"/>
  <c r="AJ13" i="6"/>
  <c r="AK13" i="6"/>
  <c r="AM13" i="6"/>
  <c r="AN13" i="6"/>
  <c r="Q14" i="6"/>
  <c r="V14" i="6"/>
  <c r="W14" i="6"/>
  <c r="X14" i="6"/>
  <c r="Y14" i="6"/>
  <c r="Z14" i="6"/>
  <c r="AA14" i="6"/>
  <c r="AB14" i="6"/>
  <c r="AC14" i="6"/>
  <c r="AE14" i="6"/>
  <c r="AG14" i="6"/>
  <c r="AI14" i="6"/>
  <c r="AJ14" i="6"/>
  <c r="AK14" i="6"/>
  <c r="AM14" i="6"/>
  <c r="AN14" i="6"/>
  <c r="V15" i="6"/>
  <c r="W15" i="6"/>
  <c r="X15" i="6"/>
  <c r="Y15" i="6"/>
  <c r="Z15" i="6"/>
  <c r="AA15" i="6"/>
  <c r="AB15" i="6"/>
  <c r="AC15" i="6"/>
  <c r="AE15" i="6"/>
  <c r="AG15" i="6"/>
  <c r="AI15" i="6"/>
  <c r="AJ15" i="6"/>
  <c r="AK15" i="6"/>
  <c r="AM15" i="6"/>
  <c r="AN15" i="6"/>
  <c r="V16" i="6"/>
  <c r="W16" i="6"/>
  <c r="X16" i="6"/>
  <c r="Y16" i="6"/>
  <c r="Z16" i="6"/>
  <c r="AA16" i="6"/>
  <c r="AB16" i="6"/>
  <c r="AC16" i="6"/>
  <c r="AE16" i="6"/>
  <c r="AG16" i="6"/>
  <c r="AI16" i="6"/>
  <c r="AJ16" i="6"/>
  <c r="AK16" i="6"/>
  <c r="AM16" i="6"/>
  <c r="AN16" i="6"/>
  <c r="V17" i="6"/>
  <c r="W17" i="6"/>
  <c r="X17" i="6"/>
  <c r="Y17" i="6"/>
  <c r="Z17" i="6"/>
  <c r="AA17" i="6"/>
  <c r="AB17" i="6"/>
  <c r="AC17" i="6"/>
  <c r="AE17" i="6"/>
  <c r="AG17" i="6"/>
  <c r="AI17" i="6"/>
  <c r="AJ17" i="6"/>
  <c r="AK17" i="6"/>
  <c r="AM17" i="6"/>
  <c r="AN17" i="6"/>
  <c r="V18" i="6"/>
  <c r="W18" i="6"/>
  <c r="X18" i="6"/>
  <c r="Y18" i="6"/>
  <c r="Z18" i="6"/>
  <c r="AA18" i="6"/>
  <c r="AB18" i="6"/>
  <c r="AC18" i="6"/>
  <c r="AE18" i="6"/>
  <c r="AG18" i="6"/>
  <c r="AI18" i="6"/>
  <c r="AJ18" i="6"/>
  <c r="AK18" i="6"/>
  <c r="AM18" i="6"/>
  <c r="AN18" i="6"/>
  <c r="V19" i="6"/>
  <c r="W19" i="6"/>
  <c r="X19" i="6"/>
  <c r="Y19" i="6"/>
  <c r="Z19" i="6"/>
  <c r="AA19" i="6"/>
  <c r="AB19" i="6"/>
  <c r="AC19" i="6"/>
  <c r="AE19" i="6"/>
  <c r="AG19" i="6"/>
  <c r="AI19" i="6"/>
  <c r="AJ19" i="6"/>
  <c r="AK19" i="6"/>
  <c r="AM19" i="6"/>
  <c r="AN19" i="6"/>
  <c r="V20" i="6"/>
  <c r="W20" i="6"/>
  <c r="X20" i="6"/>
  <c r="Y20" i="6"/>
  <c r="Z20" i="6"/>
  <c r="AA20" i="6"/>
  <c r="AB20" i="6"/>
  <c r="AC20" i="6"/>
  <c r="AE20" i="6"/>
  <c r="AG20" i="6"/>
  <c r="AI20" i="6"/>
  <c r="AJ20" i="6"/>
  <c r="AK20" i="6"/>
  <c r="AM20" i="6"/>
  <c r="AN20" i="6"/>
  <c r="Q21" i="6"/>
  <c r="V21" i="6"/>
  <c r="W21" i="6"/>
  <c r="X21" i="6"/>
  <c r="Y21" i="6"/>
  <c r="Z21" i="6"/>
  <c r="AA21" i="6"/>
  <c r="AB21" i="6"/>
  <c r="AC21" i="6"/>
  <c r="AE21" i="6"/>
  <c r="AG21" i="6"/>
  <c r="AI21" i="6"/>
  <c r="AJ21" i="6"/>
  <c r="AK21" i="6"/>
  <c r="AM21" i="6"/>
  <c r="AN21" i="6"/>
  <c r="Q22" i="6"/>
  <c r="V22" i="6"/>
  <c r="W22" i="6"/>
  <c r="X22" i="6"/>
  <c r="Y22" i="6"/>
  <c r="Z22" i="6"/>
  <c r="AA22" i="6"/>
  <c r="AB22" i="6"/>
  <c r="AC22" i="6"/>
  <c r="AE22" i="6"/>
  <c r="AG22" i="6"/>
  <c r="AI22" i="6"/>
  <c r="AJ22" i="6"/>
  <c r="AK22" i="6"/>
  <c r="AM22" i="6"/>
  <c r="AN22" i="6"/>
  <c r="Q23" i="6"/>
  <c r="V23" i="6"/>
  <c r="W23" i="6"/>
  <c r="X23" i="6"/>
  <c r="Y23" i="6"/>
  <c r="Z23" i="6"/>
  <c r="AA23" i="6"/>
  <c r="AB23" i="6"/>
  <c r="AC23" i="6"/>
  <c r="AE23" i="6"/>
  <c r="AG23" i="6"/>
  <c r="AI23" i="6"/>
  <c r="AJ23" i="6"/>
  <c r="AK23" i="6"/>
  <c r="AM23" i="6"/>
  <c r="AN23" i="6"/>
  <c r="Q24" i="6"/>
  <c r="V24" i="6"/>
  <c r="W24" i="6"/>
  <c r="X24" i="6"/>
  <c r="Y24" i="6"/>
  <c r="Z24" i="6"/>
  <c r="AA24" i="6"/>
  <c r="AB24" i="6"/>
  <c r="AC24" i="6"/>
  <c r="AE24" i="6"/>
  <c r="AG24" i="6"/>
  <c r="AI24" i="6"/>
  <c r="AJ24" i="6"/>
  <c r="AK24" i="6"/>
  <c r="AM24" i="6"/>
  <c r="AN24" i="6"/>
  <c r="Q25" i="6"/>
  <c r="V25" i="6"/>
  <c r="W25" i="6"/>
  <c r="X25" i="6"/>
  <c r="Y25" i="6"/>
  <c r="Z25" i="6"/>
  <c r="AA25" i="6"/>
  <c r="AB25" i="6"/>
  <c r="AC25" i="6"/>
  <c r="AE25" i="6"/>
  <c r="AG25" i="6"/>
  <c r="AI25" i="6"/>
  <c r="AJ25" i="6"/>
  <c r="AK25" i="6"/>
  <c r="AM25" i="6"/>
  <c r="AN25" i="6"/>
  <c r="Q26" i="6"/>
  <c r="V26" i="6"/>
  <c r="W26" i="6"/>
  <c r="X26" i="6"/>
  <c r="Y26" i="6"/>
  <c r="Z26" i="6"/>
  <c r="AA26" i="6"/>
  <c r="AB26" i="6"/>
  <c r="AC26" i="6"/>
  <c r="AE26" i="6"/>
  <c r="AG26" i="6"/>
  <c r="AI26" i="6"/>
  <c r="AJ26" i="6"/>
  <c r="AK26" i="6"/>
  <c r="AM26" i="6"/>
  <c r="AN26" i="6"/>
  <c r="V27" i="6"/>
  <c r="W27" i="6"/>
  <c r="X27" i="6"/>
  <c r="Y27" i="6"/>
  <c r="Z27" i="6"/>
  <c r="AA27" i="6"/>
  <c r="AB27" i="6"/>
  <c r="AC27" i="6"/>
  <c r="AE27" i="6"/>
  <c r="AG27" i="6"/>
  <c r="AI27" i="6"/>
  <c r="AJ27" i="6"/>
  <c r="AK27" i="6"/>
  <c r="AM27" i="6"/>
  <c r="AN27" i="6"/>
  <c r="Q28" i="6"/>
  <c r="V28" i="6"/>
  <c r="W28" i="6"/>
  <c r="X28" i="6"/>
  <c r="Y28" i="6"/>
  <c r="Z28" i="6"/>
  <c r="AA28" i="6"/>
  <c r="AB28" i="6"/>
  <c r="AC28" i="6"/>
  <c r="AE28" i="6"/>
  <c r="AG28" i="6"/>
  <c r="AI28" i="6"/>
  <c r="AJ28" i="6"/>
  <c r="AK28" i="6"/>
  <c r="AM28" i="6"/>
  <c r="AN28" i="6"/>
  <c r="Q29" i="6"/>
  <c r="V29" i="6"/>
  <c r="W29" i="6"/>
  <c r="X29" i="6"/>
  <c r="Y29" i="6"/>
  <c r="Z29" i="6"/>
  <c r="AA29" i="6"/>
  <c r="AB29" i="6"/>
  <c r="AC29" i="6"/>
  <c r="AE29" i="6"/>
  <c r="AG29" i="6"/>
  <c r="AI29" i="6"/>
  <c r="AJ29" i="6"/>
  <c r="AK29" i="6"/>
  <c r="AM29" i="6"/>
  <c r="AN29" i="6"/>
  <c r="Q30" i="6"/>
  <c r="V30" i="6"/>
  <c r="W30" i="6"/>
  <c r="X30" i="6"/>
  <c r="Y30" i="6"/>
  <c r="Z30" i="6"/>
  <c r="AA30" i="6"/>
  <c r="AB30" i="6"/>
  <c r="AC30" i="6"/>
  <c r="AE30" i="6"/>
  <c r="AG30" i="6"/>
  <c r="AI30" i="6"/>
  <c r="AJ30" i="6"/>
  <c r="AK30" i="6"/>
  <c r="AM30" i="6"/>
  <c r="AN30" i="6"/>
  <c r="Q31" i="6"/>
  <c r="V31" i="6"/>
  <c r="W31" i="6"/>
  <c r="X31" i="6"/>
  <c r="Y31" i="6"/>
  <c r="Z31" i="6"/>
  <c r="AA31" i="6"/>
  <c r="AB31" i="6"/>
  <c r="AC31" i="6"/>
  <c r="AE31" i="6"/>
  <c r="AG31" i="6"/>
  <c r="AI31" i="6"/>
  <c r="AJ31" i="6"/>
  <c r="AK31" i="6"/>
  <c r="AM31" i="6"/>
  <c r="AN31" i="6"/>
  <c r="R5" i="5"/>
  <c r="S5" i="5"/>
  <c r="T5" i="5"/>
  <c r="U5" i="5"/>
  <c r="R6" i="5"/>
  <c r="S6" i="5"/>
  <c r="T6" i="5"/>
  <c r="U6" i="5"/>
  <c r="R7" i="5"/>
  <c r="S7" i="5"/>
  <c r="T7" i="5"/>
  <c r="U7" i="5"/>
  <c r="R8" i="5"/>
  <c r="S8" i="5"/>
  <c r="T8" i="5"/>
  <c r="U8" i="5"/>
  <c r="R9" i="5"/>
  <c r="S9" i="5"/>
  <c r="T9" i="5"/>
  <c r="U9" i="5"/>
  <c r="R10" i="5"/>
  <c r="S10" i="5"/>
  <c r="T10" i="5"/>
  <c r="U10" i="5"/>
  <c r="R11" i="5"/>
  <c r="S11" i="5"/>
  <c r="T11" i="5"/>
  <c r="U11" i="5"/>
  <c r="R12" i="5"/>
  <c r="S12" i="5"/>
  <c r="T12" i="5"/>
  <c r="U12" i="5"/>
  <c r="R13" i="5"/>
  <c r="S13" i="5"/>
  <c r="T13" i="5"/>
  <c r="U13" i="5"/>
  <c r="R14" i="5"/>
  <c r="S14" i="5"/>
  <c r="T14" i="5"/>
  <c r="U14" i="5"/>
  <c r="R15" i="5"/>
  <c r="S15" i="5"/>
  <c r="T15" i="5"/>
  <c r="U15" i="5"/>
  <c r="R16" i="5"/>
  <c r="S16" i="5"/>
  <c r="T16" i="5"/>
  <c r="U16" i="5"/>
  <c r="R17" i="5"/>
  <c r="S17" i="5"/>
  <c r="T17" i="5"/>
  <c r="U17" i="5"/>
  <c r="R18" i="5"/>
  <c r="S18" i="5"/>
  <c r="T18" i="5"/>
  <c r="U18" i="5"/>
  <c r="R19" i="5"/>
  <c r="S19" i="5"/>
  <c r="T19" i="5"/>
  <c r="U19" i="5"/>
  <c r="R20" i="5"/>
  <c r="S20" i="5"/>
  <c r="T20" i="5"/>
  <c r="U20" i="5"/>
  <c r="R21" i="5"/>
  <c r="S21" i="5"/>
  <c r="T21" i="5"/>
  <c r="U21" i="5"/>
  <c r="R22" i="5"/>
  <c r="S22" i="5"/>
  <c r="T22" i="5"/>
  <c r="U22" i="5"/>
  <c r="R23" i="5"/>
  <c r="S23" i="5"/>
  <c r="T23" i="5"/>
  <c r="U23" i="5"/>
  <c r="R24" i="5"/>
  <c r="S24" i="5"/>
  <c r="T24" i="5"/>
  <c r="U24" i="5"/>
  <c r="R25" i="5"/>
  <c r="S25" i="5"/>
  <c r="T25" i="5"/>
  <c r="U25" i="5"/>
  <c r="R26" i="5"/>
  <c r="S26" i="5"/>
  <c r="T26" i="5"/>
  <c r="U26" i="5"/>
  <c r="R27" i="5"/>
  <c r="S27" i="5"/>
  <c r="T27" i="5"/>
  <c r="U27" i="5"/>
  <c r="R28" i="5"/>
  <c r="S28" i="5"/>
  <c r="T28" i="5"/>
  <c r="U28" i="5"/>
  <c r="R29" i="5"/>
  <c r="S29" i="5"/>
  <c r="T29" i="5"/>
  <c r="U29" i="5"/>
  <c r="R30" i="5"/>
  <c r="S30" i="5"/>
  <c r="T30" i="5"/>
  <c r="U30" i="5"/>
  <c r="R31" i="5"/>
  <c r="S31" i="5"/>
  <c r="T31" i="5"/>
  <c r="U31" i="5"/>
  <c r="R32" i="5"/>
  <c r="S32" i="5"/>
  <c r="T32" i="5"/>
  <c r="U32" i="5"/>
  <c r="R33" i="5"/>
  <c r="S33" i="5"/>
  <c r="T33" i="5"/>
  <c r="U33" i="5"/>
  <c r="R34" i="5"/>
  <c r="S34" i="5"/>
  <c r="T34" i="5"/>
  <c r="U34" i="5"/>
  <c r="S4" i="5"/>
  <c r="T4" i="5"/>
  <c r="U4" i="5"/>
  <c r="R5" i="1"/>
  <c r="S5" i="1"/>
  <c r="T5" i="1"/>
  <c r="U5" i="1"/>
  <c r="R6" i="1"/>
  <c r="S6" i="1"/>
  <c r="T6" i="1"/>
  <c r="U6" i="1"/>
  <c r="R7" i="1"/>
  <c r="S7" i="1"/>
  <c r="T7" i="1"/>
  <c r="U7" i="1"/>
  <c r="R8" i="1"/>
  <c r="S8" i="1"/>
  <c r="T8" i="1"/>
  <c r="U8" i="1"/>
  <c r="R9" i="1"/>
  <c r="S9" i="1"/>
  <c r="T9" i="1"/>
  <c r="U9" i="1"/>
  <c r="R10" i="1"/>
  <c r="S10" i="1"/>
  <c r="T10" i="1"/>
  <c r="U10" i="1"/>
  <c r="R11" i="1"/>
  <c r="S11" i="1"/>
  <c r="T11" i="1"/>
  <c r="U11" i="1"/>
  <c r="R12" i="1"/>
  <c r="S12" i="1"/>
  <c r="T12" i="1"/>
  <c r="U12" i="1"/>
  <c r="R13" i="1"/>
  <c r="S13" i="1"/>
  <c r="T13" i="1"/>
  <c r="U13" i="1"/>
  <c r="R14" i="1"/>
  <c r="S14" i="1"/>
  <c r="T14" i="1"/>
  <c r="U14" i="1"/>
  <c r="R15" i="1"/>
  <c r="S15" i="1"/>
  <c r="T15" i="1"/>
  <c r="U15" i="1"/>
  <c r="R16" i="1"/>
  <c r="S16" i="1"/>
  <c r="T16" i="1"/>
  <c r="U16" i="1"/>
  <c r="R17" i="1"/>
  <c r="S17" i="1"/>
  <c r="T17" i="1"/>
  <c r="U17" i="1"/>
  <c r="R18" i="1"/>
  <c r="S18" i="1"/>
  <c r="T18" i="1"/>
  <c r="U18" i="1"/>
  <c r="R19" i="1"/>
  <c r="S19" i="1"/>
  <c r="T19" i="1"/>
  <c r="U19" i="1"/>
  <c r="R20" i="1"/>
  <c r="S20" i="1"/>
  <c r="T20" i="1"/>
  <c r="U20" i="1"/>
  <c r="R21" i="1"/>
  <c r="S21" i="1"/>
  <c r="T21" i="1"/>
  <c r="U21" i="1"/>
  <c r="R22" i="1"/>
  <c r="S22" i="1"/>
  <c r="T22" i="1"/>
  <c r="U22" i="1"/>
  <c r="R23" i="1"/>
  <c r="S23" i="1"/>
  <c r="T23" i="1"/>
  <c r="U23" i="1"/>
  <c r="R24" i="1"/>
  <c r="S24" i="1"/>
  <c r="T24" i="1"/>
  <c r="U24" i="1"/>
  <c r="R25" i="1"/>
  <c r="S25" i="1"/>
  <c r="T25" i="1"/>
  <c r="U25" i="1"/>
  <c r="R26" i="1"/>
  <c r="S26" i="1"/>
  <c r="T26" i="1"/>
  <c r="U26" i="1"/>
  <c r="R27" i="1"/>
  <c r="S27" i="1"/>
  <c r="T27" i="1"/>
  <c r="U27" i="1"/>
  <c r="R28" i="1"/>
  <c r="S28" i="1"/>
  <c r="T28" i="1"/>
  <c r="U28" i="1"/>
  <c r="R29" i="1"/>
  <c r="S29" i="1"/>
  <c r="T29" i="1"/>
  <c r="U29" i="1"/>
  <c r="R30" i="1"/>
  <c r="S30" i="1"/>
  <c r="T30" i="1"/>
  <c r="U30" i="1"/>
  <c r="R31" i="1"/>
  <c r="S31" i="1"/>
  <c r="T31" i="1"/>
  <c r="U31" i="1"/>
  <c r="R32" i="1"/>
  <c r="S32" i="1"/>
  <c r="T32" i="1"/>
  <c r="U32" i="1"/>
  <c r="R33" i="1"/>
  <c r="S33" i="1"/>
  <c r="T33" i="1"/>
  <c r="U33" i="1"/>
  <c r="R34" i="1"/>
  <c r="S34" i="1"/>
  <c r="T34" i="1"/>
  <c r="U34" i="1"/>
  <c r="R35" i="1"/>
  <c r="S35" i="1"/>
  <c r="T35" i="1"/>
  <c r="U35" i="1"/>
  <c r="R36" i="1"/>
  <c r="S36" i="1"/>
  <c r="T36" i="1"/>
  <c r="U36" i="1"/>
  <c r="R37" i="1"/>
  <c r="S37" i="1"/>
  <c r="T37" i="1"/>
  <c r="U37" i="1"/>
  <c r="S4" i="1"/>
  <c r="T4" i="1"/>
  <c r="U4" i="1"/>
  <c r="S5" i="4"/>
  <c r="T5" i="4"/>
  <c r="U5" i="4"/>
  <c r="S6" i="4"/>
  <c r="T6" i="4"/>
  <c r="U6" i="4"/>
  <c r="S7" i="4"/>
  <c r="T7" i="4"/>
  <c r="U7" i="4"/>
  <c r="S8" i="4"/>
  <c r="T8" i="4"/>
  <c r="U8" i="4"/>
  <c r="S9" i="4"/>
  <c r="T9" i="4"/>
  <c r="U9" i="4"/>
  <c r="S10" i="4"/>
  <c r="T10" i="4"/>
  <c r="U10" i="4"/>
  <c r="S11" i="4"/>
  <c r="T11" i="4"/>
  <c r="U11" i="4"/>
  <c r="S12" i="4"/>
  <c r="T12" i="4"/>
  <c r="U12" i="4"/>
  <c r="S13" i="4"/>
  <c r="T13" i="4"/>
  <c r="U13" i="4"/>
  <c r="S14" i="4"/>
  <c r="T14" i="4"/>
  <c r="U14" i="4"/>
  <c r="S15" i="4"/>
  <c r="T15" i="4"/>
  <c r="U15" i="4"/>
  <c r="S16" i="4"/>
  <c r="T16" i="4"/>
  <c r="U16" i="4"/>
  <c r="S17" i="4"/>
  <c r="T17" i="4"/>
  <c r="U17" i="4"/>
  <c r="S18" i="4"/>
  <c r="T18" i="4"/>
  <c r="U18" i="4"/>
  <c r="S19" i="4"/>
  <c r="T19" i="4"/>
  <c r="U19" i="4"/>
  <c r="S20" i="4"/>
  <c r="T20" i="4"/>
  <c r="U20" i="4"/>
  <c r="S21" i="4"/>
  <c r="T21" i="4"/>
  <c r="U21" i="4"/>
  <c r="S22" i="4"/>
  <c r="T22" i="4"/>
  <c r="U22" i="4"/>
  <c r="S23" i="4"/>
  <c r="T23" i="4"/>
  <c r="U23" i="4"/>
  <c r="S24" i="4"/>
  <c r="T24" i="4"/>
  <c r="U24" i="4"/>
  <c r="S25" i="4"/>
  <c r="T25" i="4"/>
  <c r="U25" i="4"/>
  <c r="S26" i="4"/>
  <c r="T26" i="4"/>
  <c r="U26" i="4"/>
  <c r="S27" i="4"/>
  <c r="T27" i="4"/>
  <c r="U27" i="4"/>
  <c r="S28" i="4"/>
  <c r="T28" i="4"/>
  <c r="U28" i="4"/>
  <c r="S29" i="4"/>
  <c r="T29" i="4"/>
  <c r="U29" i="4"/>
  <c r="S30" i="4"/>
  <c r="T30" i="4"/>
  <c r="U30" i="4"/>
  <c r="S31" i="4"/>
  <c r="T31" i="4"/>
  <c r="U31" i="4"/>
  <c r="S32" i="4"/>
  <c r="T32" i="4"/>
  <c r="U32" i="4"/>
  <c r="S33" i="4"/>
  <c r="T33" i="4"/>
  <c r="U33" i="4"/>
  <c r="S34" i="4"/>
  <c r="T34" i="4"/>
  <c r="U34" i="4"/>
  <c r="S35" i="4"/>
  <c r="T35" i="4"/>
  <c r="U35" i="4"/>
  <c r="S36" i="4"/>
  <c r="T36" i="4"/>
  <c r="U36" i="4"/>
  <c r="S37" i="4"/>
  <c r="T37" i="4"/>
  <c r="U37" i="4"/>
  <c r="S38" i="4"/>
  <c r="T38" i="4"/>
  <c r="U38" i="4"/>
  <c r="S39" i="4"/>
  <c r="T39" i="4"/>
  <c r="U39" i="4"/>
  <c r="S40" i="4"/>
  <c r="T40" i="4"/>
  <c r="U40" i="4"/>
  <c r="S41" i="4"/>
  <c r="T41" i="4"/>
  <c r="U41" i="4"/>
  <c r="S42" i="4"/>
  <c r="T42" i="4"/>
  <c r="U42" i="4"/>
  <c r="T4" i="4"/>
  <c r="U4" i="4"/>
  <c r="S4" i="4"/>
  <c r="Q13" i="8"/>
  <c r="Q12" i="8"/>
  <c r="Q11" i="8"/>
  <c r="Q10" i="8"/>
  <c r="Q9" i="8"/>
  <c r="Q8" i="8"/>
  <c r="Q7" i="8"/>
  <c r="Q6" i="8"/>
  <c r="Q5" i="8"/>
  <c r="Z5" i="8"/>
  <c r="AB5" i="8"/>
  <c r="AC5" i="8"/>
  <c r="Z6" i="8"/>
  <c r="AB6" i="8"/>
  <c r="AC6" i="8"/>
  <c r="Z7" i="8"/>
  <c r="AB7" i="8"/>
  <c r="AC7" i="8"/>
  <c r="Z8" i="8"/>
  <c r="AB8" i="8"/>
  <c r="AC8" i="8"/>
  <c r="Z9" i="8"/>
  <c r="AB9" i="8"/>
  <c r="AC9" i="8"/>
  <c r="Z10" i="8"/>
  <c r="AB10" i="8"/>
  <c r="AC10" i="8"/>
  <c r="Z11" i="8"/>
  <c r="AB11" i="8"/>
  <c r="AC11" i="8"/>
  <c r="Z12" i="8"/>
  <c r="AB12" i="8"/>
  <c r="AC12" i="8"/>
  <c r="Z13" i="8"/>
  <c r="AB13" i="8"/>
  <c r="AC13" i="8"/>
  <c r="Z4" i="8"/>
  <c r="AB4" i="8"/>
  <c r="AC4" i="8"/>
  <c r="AM13" i="8"/>
  <c r="AJ13" i="8"/>
  <c r="AN13" i="8"/>
  <c r="AA13" i="8"/>
  <c r="AK13" i="8"/>
  <c r="AI13" i="8"/>
  <c r="AG13" i="8"/>
  <c r="AE13" i="8"/>
  <c r="Y13" i="8"/>
  <c r="X13" i="8"/>
  <c r="W13" i="8"/>
  <c r="V13" i="8"/>
  <c r="AM12" i="8"/>
  <c r="AJ12" i="8"/>
  <c r="AN12" i="8"/>
  <c r="AA12" i="8"/>
  <c r="AK12" i="8"/>
  <c r="AI12" i="8"/>
  <c r="AG12" i="8"/>
  <c r="AE12" i="8"/>
  <c r="Y12" i="8"/>
  <c r="X12" i="8"/>
  <c r="W12" i="8"/>
  <c r="V12" i="8"/>
  <c r="AM11" i="8"/>
  <c r="AJ11" i="8"/>
  <c r="AN11" i="8"/>
  <c r="AA11" i="8"/>
  <c r="AK11" i="8"/>
  <c r="AI11" i="8"/>
  <c r="AG11" i="8"/>
  <c r="AE11" i="8"/>
  <c r="Y11" i="8"/>
  <c r="X11" i="8"/>
  <c r="W11" i="8"/>
  <c r="V11" i="8"/>
  <c r="AM10" i="8"/>
  <c r="AJ10" i="8"/>
  <c r="AN10" i="8"/>
  <c r="AA10" i="8"/>
  <c r="AK10" i="8"/>
  <c r="AI10" i="8"/>
  <c r="AG10" i="8"/>
  <c r="AE10" i="8"/>
  <c r="Y10" i="8"/>
  <c r="X10" i="8"/>
  <c r="W10" i="8"/>
  <c r="V10" i="8"/>
  <c r="AM9" i="8"/>
  <c r="AJ9" i="8"/>
  <c r="AN9" i="8"/>
  <c r="AA9" i="8"/>
  <c r="AK9" i="8"/>
  <c r="AI9" i="8"/>
  <c r="AG9" i="8"/>
  <c r="AE9" i="8"/>
  <c r="Y9" i="8"/>
  <c r="X9" i="8"/>
  <c r="W9" i="8"/>
  <c r="V9" i="8"/>
  <c r="AM8" i="8"/>
  <c r="AJ8" i="8"/>
  <c r="AN8" i="8"/>
  <c r="AA8" i="8"/>
  <c r="AK8" i="8"/>
  <c r="AI8" i="8"/>
  <c r="AG8" i="8"/>
  <c r="AE8" i="8"/>
  <c r="Y8" i="8"/>
  <c r="X8" i="8"/>
  <c r="W8" i="8"/>
  <c r="V8" i="8"/>
  <c r="AM7" i="8"/>
  <c r="AJ7" i="8"/>
  <c r="AN7" i="8"/>
  <c r="AA7" i="8"/>
  <c r="AK7" i="8"/>
  <c r="AI7" i="8"/>
  <c r="AG7" i="8"/>
  <c r="AE7" i="8"/>
  <c r="Y7" i="8"/>
  <c r="X7" i="8"/>
  <c r="W7" i="8"/>
  <c r="V7" i="8"/>
  <c r="AM6" i="8"/>
  <c r="AJ6" i="8"/>
  <c r="AN6" i="8"/>
  <c r="AA6" i="8"/>
  <c r="AK6" i="8"/>
  <c r="AI6" i="8"/>
  <c r="AG6" i="8"/>
  <c r="AE6" i="8"/>
  <c r="Y6" i="8"/>
  <c r="X6" i="8"/>
  <c r="W6" i="8"/>
  <c r="V6" i="8"/>
  <c r="AM5" i="8"/>
  <c r="AJ5" i="8"/>
  <c r="AN5" i="8"/>
  <c r="AA5" i="8"/>
  <c r="AK5" i="8"/>
  <c r="AI5" i="8"/>
  <c r="AG5" i="8"/>
  <c r="AE5" i="8"/>
  <c r="Y5" i="8"/>
  <c r="X5" i="8"/>
  <c r="W5" i="8"/>
  <c r="V5" i="8"/>
  <c r="AM4" i="8"/>
  <c r="AJ4" i="8"/>
  <c r="AN4" i="8"/>
  <c r="AA4" i="8"/>
  <c r="AK4" i="8"/>
  <c r="AI4" i="8"/>
  <c r="AG4" i="8"/>
  <c r="AE4" i="8"/>
  <c r="Y4" i="8"/>
  <c r="R4" i="8"/>
  <c r="X4" i="8"/>
  <c r="W4" i="8"/>
  <c r="V4" i="8"/>
  <c r="Q28" i="7"/>
  <c r="Q27" i="7"/>
  <c r="Q26" i="7"/>
  <c r="Q25" i="7"/>
  <c r="Q23" i="7"/>
  <c r="Q22" i="7"/>
  <c r="Q21" i="7"/>
  <c r="Q20" i="7"/>
  <c r="Q18" i="7"/>
  <c r="Q13" i="7"/>
  <c r="Q12" i="7"/>
  <c r="Q11" i="7"/>
  <c r="Q10" i="7"/>
  <c r="Q9" i="7"/>
  <c r="Q8" i="7"/>
  <c r="Q7" i="7"/>
  <c r="Q4" i="7"/>
  <c r="Z5" i="7"/>
  <c r="AB5" i="7"/>
  <c r="AC5" i="7"/>
  <c r="Z6" i="7"/>
  <c r="AB6" i="7"/>
  <c r="AC6" i="7"/>
  <c r="Z7" i="7"/>
  <c r="AB7" i="7"/>
  <c r="AC7" i="7"/>
  <c r="Z8" i="7"/>
  <c r="AB8" i="7"/>
  <c r="AC8" i="7"/>
  <c r="Z9" i="7"/>
  <c r="AB9" i="7"/>
  <c r="AC9" i="7"/>
  <c r="Z10" i="7"/>
  <c r="AB10" i="7"/>
  <c r="AC10" i="7"/>
  <c r="Z11" i="7"/>
  <c r="AB11" i="7"/>
  <c r="AC11" i="7"/>
  <c r="Z12" i="7"/>
  <c r="AB12" i="7"/>
  <c r="AC12" i="7"/>
  <c r="Z13" i="7"/>
  <c r="AB13" i="7"/>
  <c r="AC13" i="7"/>
  <c r="Z14" i="7"/>
  <c r="AB14" i="7"/>
  <c r="AC14" i="7"/>
  <c r="Z15" i="7"/>
  <c r="AB15" i="7"/>
  <c r="AC15" i="7"/>
  <c r="Z16" i="7"/>
  <c r="AB16" i="7"/>
  <c r="AC16" i="7"/>
  <c r="Z17" i="7"/>
  <c r="AB17" i="7"/>
  <c r="AC17" i="7"/>
  <c r="Z18" i="7"/>
  <c r="AB18" i="7"/>
  <c r="AC18" i="7"/>
  <c r="Z19" i="7"/>
  <c r="AB19" i="7"/>
  <c r="AC19" i="7"/>
  <c r="Z20" i="7"/>
  <c r="AB20" i="7"/>
  <c r="AC20" i="7"/>
  <c r="Z21" i="7"/>
  <c r="AB21" i="7"/>
  <c r="AC21" i="7"/>
  <c r="Z22" i="7"/>
  <c r="AB22" i="7"/>
  <c r="AC22" i="7"/>
  <c r="Z23" i="7"/>
  <c r="AB23" i="7"/>
  <c r="AC23" i="7"/>
  <c r="Z24" i="7"/>
  <c r="AB24" i="7"/>
  <c r="AC24" i="7"/>
  <c r="Z25" i="7"/>
  <c r="AB25" i="7"/>
  <c r="AC25" i="7"/>
  <c r="Z26" i="7"/>
  <c r="AB26" i="7"/>
  <c r="AC26" i="7"/>
  <c r="Z27" i="7"/>
  <c r="AB27" i="7"/>
  <c r="AC27" i="7"/>
  <c r="Z28" i="7"/>
  <c r="AB28" i="7"/>
  <c r="AC28" i="7"/>
  <c r="Z4" i="7"/>
  <c r="AB4" i="7"/>
  <c r="AC4" i="7"/>
  <c r="AM28" i="7"/>
  <c r="AJ28" i="7"/>
  <c r="AN28" i="7"/>
  <c r="AA28" i="7"/>
  <c r="AK28" i="7"/>
  <c r="AI28" i="7"/>
  <c r="AG28" i="7"/>
  <c r="AE28" i="7"/>
  <c r="Y28" i="7"/>
  <c r="X28" i="7"/>
  <c r="W28" i="7"/>
  <c r="V28" i="7"/>
  <c r="AM27" i="7"/>
  <c r="AJ27" i="7"/>
  <c r="AN27" i="7"/>
  <c r="AA27" i="7"/>
  <c r="AK27" i="7"/>
  <c r="AI27" i="7"/>
  <c r="AG27" i="7"/>
  <c r="AE27" i="7"/>
  <c r="Y27" i="7"/>
  <c r="X27" i="7"/>
  <c r="W27" i="7"/>
  <c r="V27" i="7"/>
  <c r="AM26" i="7"/>
  <c r="AJ26" i="7"/>
  <c r="AN26" i="7"/>
  <c r="AA26" i="7"/>
  <c r="AK26" i="7"/>
  <c r="AI26" i="7"/>
  <c r="AG26" i="7"/>
  <c r="AE26" i="7"/>
  <c r="Y26" i="7"/>
  <c r="X26" i="7"/>
  <c r="W26" i="7"/>
  <c r="V26" i="7"/>
  <c r="AM25" i="7"/>
  <c r="AJ25" i="7"/>
  <c r="AN25" i="7"/>
  <c r="AA25" i="7"/>
  <c r="AK25" i="7"/>
  <c r="AI25" i="7"/>
  <c r="AG25" i="7"/>
  <c r="AE25" i="7"/>
  <c r="Y25" i="7"/>
  <c r="X25" i="7"/>
  <c r="W25" i="7"/>
  <c r="V25" i="7"/>
  <c r="AM24" i="7"/>
  <c r="AJ24" i="7"/>
  <c r="AN24" i="7"/>
  <c r="AA24" i="7"/>
  <c r="AK24" i="7"/>
  <c r="AI24" i="7"/>
  <c r="AG24" i="7"/>
  <c r="AE24" i="7"/>
  <c r="Y24" i="7"/>
  <c r="X24" i="7"/>
  <c r="W24" i="7"/>
  <c r="V24" i="7"/>
  <c r="AM23" i="7"/>
  <c r="AJ23" i="7"/>
  <c r="AN23" i="7"/>
  <c r="AA23" i="7"/>
  <c r="AK23" i="7"/>
  <c r="AI23" i="7"/>
  <c r="AG23" i="7"/>
  <c r="AE23" i="7"/>
  <c r="Y23" i="7"/>
  <c r="X23" i="7"/>
  <c r="W23" i="7"/>
  <c r="V23" i="7"/>
  <c r="AM22" i="7"/>
  <c r="AJ22" i="7"/>
  <c r="AN22" i="7"/>
  <c r="AA22" i="7"/>
  <c r="AK22" i="7"/>
  <c r="AI22" i="7"/>
  <c r="AG22" i="7"/>
  <c r="AE22" i="7"/>
  <c r="Y22" i="7"/>
  <c r="X22" i="7"/>
  <c r="W22" i="7"/>
  <c r="V22" i="7"/>
  <c r="AM21" i="7"/>
  <c r="AJ21" i="7"/>
  <c r="AN21" i="7"/>
  <c r="AA21" i="7"/>
  <c r="AK21" i="7"/>
  <c r="AI21" i="7"/>
  <c r="AG21" i="7"/>
  <c r="AE21" i="7"/>
  <c r="Y21" i="7"/>
  <c r="X21" i="7"/>
  <c r="W21" i="7"/>
  <c r="V21" i="7"/>
  <c r="AM20" i="7"/>
  <c r="AJ20" i="7"/>
  <c r="AN20" i="7"/>
  <c r="AA20" i="7"/>
  <c r="AK20" i="7"/>
  <c r="AI20" i="7"/>
  <c r="AG20" i="7"/>
  <c r="AE20" i="7"/>
  <c r="Y20" i="7"/>
  <c r="X20" i="7"/>
  <c r="W20" i="7"/>
  <c r="V20" i="7"/>
  <c r="AM19" i="7"/>
  <c r="AJ19" i="7"/>
  <c r="AN19" i="7"/>
  <c r="AA19" i="7"/>
  <c r="AK19" i="7"/>
  <c r="AI19" i="7"/>
  <c r="AG19" i="7"/>
  <c r="AE19" i="7"/>
  <c r="Y19" i="7"/>
  <c r="X19" i="7"/>
  <c r="W19" i="7"/>
  <c r="V19" i="7"/>
  <c r="AM18" i="7"/>
  <c r="AJ18" i="7"/>
  <c r="AN18" i="7"/>
  <c r="AA18" i="7"/>
  <c r="AK18" i="7"/>
  <c r="AI18" i="7"/>
  <c r="AG18" i="7"/>
  <c r="AE18" i="7"/>
  <c r="Y18" i="7"/>
  <c r="X18" i="7"/>
  <c r="W18" i="7"/>
  <c r="V18" i="7"/>
  <c r="AM17" i="7"/>
  <c r="AJ17" i="7"/>
  <c r="AN17" i="7"/>
  <c r="AA17" i="7"/>
  <c r="AK17" i="7"/>
  <c r="AI17" i="7"/>
  <c r="AG17" i="7"/>
  <c r="AE17" i="7"/>
  <c r="Y17" i="7"/>
  <c r="X17" i="7"/>
  <c r="W17" i="7"/>
  <c r="V17" i="7"/>
  <c r="AM16" i="7"/>
  <c r="AJ16" i="7"/>
  <c r="AN16" i="7"/>
  <c r="AA16" i="7"/>
  <c r="AK16" i="7"/>
  <c r="AI16" i="7"/>
  <c r="AG16" i="7"/>
  <c r="AE16" i="7"/>
  <c r="Y16" i="7"/>
  <c r="X16" i="7"/>
  <c r="W16" i="7"/>
  <c r="V16" i="7"/>
  <c r="AM15" i="7"/>
  <c r="AJ15" i="7"/>
  <c r="AN15" i="7"/>
  <c r="AA15" i="7"/>
  <c r="AK15" i="7"/>
  <c r="AI15" i="7"/>
  <c r="AG15" i="7"/>
  <c r="AE15" i="7"/>
  <c r="Y15" i="7"/>
  <c r="X15" i="7"/>
  <c r="W15" i="7"/>
  <c r="V15" i="7"/>
  <c r="AM14" i="7"/>
  <c r="AJ14" i="7"/>
  <c r="AN14" i="7"/>
  <c r="AA14" i="7"/>
  <c r="AK14" i="7"/>
  <c r="AI14" i="7"/>
  <c r="AG14" i="7"/>
  <c r="AE14" i="7"/>
  <c r="Y14" i="7"/>
  <c r="X14" i="7"/>
  <c r="W14" i="7"/>
  <c r="V14" i="7"/>
  <c r="AM13" i="7"/>
  <c r="AJ13" i="7"/>
  <c r="AN13" i="7"/>
  <c r="AA13" i="7"/>
  <c r="AK13" i="7"/>
  <c r="AI13" i="7"/>
  <c r="AG13" i="7"/>
  <c r="AE13" i="7"/>
  <c r="Y13" i="7"/>
  <c r="X13" i="7"/>
  <c r="W13" i="7"/>
  <c r="V13" i="7"/>
  <c r="AM12" i="7"/>
  <c r="AJ12" i="7"/>
  <c r="AN12" i="7"/>
  <c r="AA12" i="7"/>
  <c r="AK12" i="7"/>
  <c r="AI12" i="7"/>
  <c r="AG12" i="7"/>
  <c r="AE12" i="7"/>
  <c r="Y12" i="7"/>
  <c r="X12" i="7"/>
  <c r="W12" i="7"/>
  <c r="V12" i="7"/>
  <c r="AM11" i="7"/>
  <c r="AJ11" i="7"/>
  <c r="AN11" i="7"/>
  <c r="AA11" i="7"/>
  <c r="AK11" i="7"/>
  <c r="AI11" i="7"/>
  <c r="AG11" i="7"/>
  <c r="AE11" i="7"/>
  <c r="Y11" i="7"/>
  <c r="X11" i="7"/>
  <c r="W11" i="7"/>
  <c r="V11" i="7"/>
  <c r="AM10" i="7"/>
  <c r="AJ10" i="7"/>
  <c r="AN10" i="7"/>
  <c r="AA10" i="7"/>
  <c r="AK10" i="7"/>
  <c r="AI10" i="7"/>
  <c r="AG10" i="7"/>
  <c r="AE10" i="7"/>
  <c r="Y10" i="7"/>
  <c r="X10" i="7"/>
  <c r="W10" i="7"/>
  <c r="V10" i="7"/>
  <c r="AM9" i="7"/>
  <c r="AJ9" i="7"/>
  <c r="AN9" i="7"/>
  <c r="AA9" i="7"/>
  <c r="AK9" i="7"/>
  <c r="AI9" i="7"/>
  <c r="AG9" i="7"/>
  <c r="AE9" i="7"/>
  <c r="Y9" i="7"/>
  <c r="X9" i="7"/>
  <c r="W9" i="7"/>
  <c r="V9" i="7"/>
  <c r="AM8" i="7"/>
  <c r="AJ8" i="7"/>
  <c r="AN8" i="7"/>
  <c r="AA8" i="7"/>
  <c r="AK8" i="7"/>
  <c r="AI8" i="7"/>
  <c r="AG8" i="7"/>
  <c r="AE8" i="7"/>
  <c r="Y8" i="7"/>
  <c r="X8" i="7"/>
  <c r="W8" i="7"/>
  <c r="V8" i="7"/>
  <c r="AM7" i="7"/>
  <c r="AJ7" i="7"/>
  <c r="AN7" i="7"/>
  <c r="AA7" i="7"/>
  <c r="AK7" i="7"/>
  <c r="AI7" i="7"/>
  <c r="AG7" i="7"/>
  <c r="AE7" i="7"/>
  <c r="Y7" i="7"/>
  <c r="X7" i="7"/>
  <c r="W7" i="7"/>
  <c r="V7" i="7"/>
  <c r="AM6" i="7"/>
  <c r="AJ6" i="7"/>
  <c r="AN6" i="7"/>
  <c r="AA6" i="7"/>
  <c r="AK6" i="7"/>
  <c r="AI6" i="7"/>
  <c r="AG6" i="7"/>
  <c r="AE6" i="7"/>
  <c r="Y6" i="7"/>
  <c r="X6" i="7"/>
  <c r="W6" i="7"/>
  <c r="V6" i="7"/>
  <c r="AM5" i="7"/>
  <c r="AJ5" i="7"/>
  <c r="AN5" i="7"/>
  <c r="AA5" i="7"/>
  <c r="AK5" i="7"/>
  <c r="AI5" i="7"/>
  <c r="AG5" i="7"/>
  <c r="AE5" i="7"/>
  <c r="Y5" i="7"/>
  <c r="X5" i="7"/>
  <c r="W5" i="7"/>
  <c r="V5" i="7"/>
  <c r="AM4" i="7"/>
  <c r="AJ4" i="7"/>
  <c r="AN4" i="7"/>
  <c r="AA4" i="7"/>
  <c r="AK4" i="7"/>
  <c r="AI4" i="7"/>
  <c r="AG4" i="7"/>
  <c r="AE4" i="7"/>
  <c r="Y4" i="7"/>
  <c r="R4" i="7"/>
  <c r="X4" i="7"/>
  <c r="W4" i="7"/>
  <c r="V4" i="7"/>
  <c r="Q34" i="5"/>
  <c r="Q33" i="5"/>
  <c r="Q32" i="5"/>
  <c r="Q31" i="5"/>
  <c r="Q30" i="5"/>
  <c r="Q29" i="5"/>
  <c r="Q28" i="5"/>
  <c r="Q27" i="5"/>
  <c r="Q26" i="5"/>
  <c r="Q25" i="5"/>
  <c r="Q24" i="5"/>
  <c r="Q18" i="5"/>
  <c r="Q17" i="5"/>
  <c r="Q15" i="5"/>
  <c r="Q14" i="5"/>
  <c r="Q13" i="5"/>
  <c r="Q12" i="5"/>
  <c r="Q11" i="5"/>
  <c r="Q10" i="5"/>
  <c r="Q9" i="5"/>
  <c r="Q8" i="5"/>
  <c r="Q7" i="5"/>
  <c r="Q6" i="5"/>
  <c r="Q5" i="5"/>
  <c r="Q4" i="5"/>
  <c r="Z5" i="5"/>
  <c r="AB5" i="5"/>
  <c r="AC5" i="5"/>
  <c r="Z6" i="5"/>
  <c r="AB6" i="5"/>
  <c r="AC6" i="5"/>
  <c r="Z7" i="5"/>
  <c r="AB7" i="5"/>
  <c r="AC7" i="5"/>
  <c r="Z8" i="5"/>
  <c r="AB8" i="5"/>
  <c r="AC8" i="5"/>
  <c r="Z9" i="5"/>
  <c r="AB9" i="5"/>
  <c r="AC9" i="5"/>
  <c r="Z10" i="5"/>
  <c r="AB10" i="5"/>
  <c r="AC10" i="5"/>
  <c r="Z11" i="5"/>
  <c r="AB11" i="5"/>
  <c r="AC11" i="5"/>
  <c r="Z12" i="5"/>
  <c r="AB12" i="5"/>
  <c r="AC12" i="5"/>
  <c r="Z13" i="5"/>
  <c r="AB13" i="5"/>
  <c r="AC13" i="5"/>
  <c r="Z14" i="5"/>
  <c r="AB14" i="5"/>
  <c r="AC14" i="5"/>
  <c r="Z15" i="5"/>
  <c r="AB15" i="5"/>
  <c r="AC15" i="5"/>
  <c r="Z16" i="5"/>
  <c r="AB16" i="5"/>
  <c r="AC16" i="5"/>
  <c r="Z17" i="5"/>
  <c r="AB17" i="5"/>
  <c r="AC17" i="5"/>
  <c r="Z18" i="5"/>
  <c r="AB18" i="5"/>
  <c r="AC18" i="5"/>
  <c r="Z19" i="5"/>
  <c r="AB19" i="5"/>
  <c r="AC19" i="5"/>
  <c r="Z20" i="5"/>
  <c r="AB20" i="5"/>
  <c r="AC20" i="5"/>
  <c r="Z21" i="5"/>
  <c r="AB21" i="5"/>
  <c r="AC21" i="5"/>
  <c r="Z22" i="5"/>
  <c r="AB22" i="5"/>
  <c r="AC22" i="5"/>
  <c r="Z23" i="5"/>
  <c r="AB23" i="5"/>
  <c r="AC23" i="5"/>
  <c r="Z24" i="5"/>
  <c r="AB24" i="5"/>
  <c r="AC24" i="5"/>
  <c r="Z25" i="5"/>
  <c r="AB25" i="5"/>
  <c r="AC25" i="5"/>
  <c r="Z26" i="5"/>
  <c r="AB26" i="5"/>
  <c r="AC26" i="5"/>
  <c r="Z27" i="5"/>
  <c r="AB27" i="5"/>
  <c r="AC27" i="5"/>
  <c r="Z28" i="5"/>
  <c r="AB28" i="5"/>
  <c r="AC28" i="5"/>
  <c r="Z29" i="5"/>
  <c r="AB29" i="5"/>
  <c r="AC29" i="5"/>
  <c r="Z30" i="5"/>
  <c r="AB30" i="5"/>
  <c r="AC30" i="5"/>
  <c r="Z31" i="5"/>
  <c r="AB31" i="5"/>
  <c r="AC31" i="5"/>
  <c r="Z32" i="5"/>
  <c r="AB32" i="5"/>
  <c r="AC32" i="5"/>
  <c r="Z33" i="5"/>
  <c r="AB33" i="5"/>
  <c r="AC33" i="5"/>
  <c r="Z34" i="5"/>
  <c r="AB34" i="5"/>
  <c r="AC34" i="5"/>
  <c r="AC4" i="5"/>
  <c r="AM34" i="5"/>
  <c r="AJ34" i="5"/>
  <c r="AN34" i="5"/>
  <c r="AA34" i="5"/>
  <c r="AK34" i="5"/>
  <c r="AI34" i="5"/>
  <c r="AG34" i="5"/>
  <c r="AE34" i="5"/>
  <c r="Y34" i="5"/>
  <c r="X34" i="5"/>
  <c r="W34" i="5"/>
  <c r="V34" i="5"/>
  <c r="AM33" i="5"/>
  <c r="AJ33" i="5"/>
  <c r="AN33" i="5"/>
  <c r="AA33" i="5"/>
  <c r="AK33" i="5"/>
  <c r="AI33" i="5"/>
  <c r="AG33" i="5"/>
  <c r="AE33" i="5"/>
  <c r="Y33" i="5"/>
  <c r="X33" i="5"/>
  <c r="W33" i="5"/>
  <c r="V33" i="5"/>
  <c r="AM32" i="5"/>
  <c r="AJ32" i="5"/>
  <c r="AN32" i="5"/>
  <c r="AA32" i="5"/>
  <c r="AK32" i="5"/>
  <c r="AI32" i="5"/>
  <c r="AG32" i="5"/>
  <c r="AE32" i="5"/>
  <c r="Y32" i="5"/>
  <c r="X32" i="5"/>
  <c r="W32" i="5"/>
  <c r="V32" i="5"/>
  <c r="AM31" i="5"/>
  <c r="AJ31" i="5"/>
  <c r="AN31" i="5"/>
  <c r="AA31" i="5"/>
  <c r="AK31" i="5"/>
  <c r="AI31" i="5"/>
  <c r="AG31" i="5"/>
  <c r="AE31" i="5"/>
  <c r="Y31" i="5"/>
  <c r="X31" i="5"/>
  <c r="W31" i="5"/>
  <c r="V31" i="5"/>
  <c r="AM30" i="5"/>
  <c r="AJ30" i="5"/>
  <c r="AN30" i="5"/>
  <c r="AA30" i="5"/>
  <c r="AK30" i="5"/>
  <c r="AI30" i="5"/>
  <c r="AG30" i="5"/>
  <c r="AE30" i="5"/>
  <c r="Y30" i="5"/>
  <c r="X30" i="5"/>
  <c r="W30" i="5"/>
  <c r="V30" i="5"/>
  <c r="AM29" i="5"/>
  <c r="AJ29" i="5"/>
  <c r="AN29" i="5"/>
  <c r="AA29" i="5"/>
  <c r="AK29" i="5"/>
  <c r="AI29" i="5"/>
  <c r="AG29" i="5"/>
  <c r="AE29" i="5"/>
  <c r="Y29" i="5"/>
  <c r="X29" i="5"/>
  <c r="W29" i="5"/>
  <c r="V29" i="5"/>
  <c r="AM28" i="5"/>
  <c r="AJ28" i="5"/>
  <c r="AN28" i="5"/>
  <c r="AA28" i="5"/>
  <c r="AK28" i="5"/>
  <c r="AI28" i="5"/>
  <c r="AG28" i="5"/>
  <c r="AE28" i="5"/>
  <c r="Y28" i="5"/>
  <c r="X28" i="5"/>
  <c r="W28" i="5"/>
  <c r="V28" i="5"/>
  <c r="AM27" i="5"/>
  <c r="AJ27" i="5"/>
  <c r="AN27" i="5"/>
  <c r="AA27" i="5"/>
  <c r="AK27" i="5"/>
  <c r="AI27" i="5"/>
  <c r="AG27" i="5"/>
  <c r="AE27" i="5"/>
  <c r="Y27" i="5"/>
  <c r="X27" i="5"/>
  <c r="W27" i="5"/>
  <c r="V27" i="5"/>
  <c r="AM26" i="5"/>
  <c r="AJ26" i="5"/>
  <c r="AN26" i="5"/>
  <c r="AA26" i="5"/>
  <c r="AK26" i="5"/>
  <c r="AI26" i="5"/>
  <c r="AG26" i="5"/>
  <c r="AE26" i="5"/>
  <c r="Y26" i="5"/>
  <c r="X26" i="5"/>
  <c r="W26" i="5"/>
  <c r="V26" i="5"/>
  <c r="AM25" i="5"/>
  <c r="AJ25" i="5"/>
  <c r="AN25" i="5"/>
  <c r="AA25" i="5"/>
  <c r="AK25" i="5"/>
  <c r="AI25" i="5"/>
  <c r="AG25" i="5"/>
  <c r="AE25" i="5"/>
  <c r="Y25" i="5"/>
  <c r="X25" i="5"/>
  <c r="W25" i="5"/>
  <c r="V25" i="5"/>
  <c r="AM24" i="5"/>
  <c r="AJ24" i="5"/>
  <c r="AN24" i="5"/>
  <c r="AA24" i="5"/>
  <c r="AK24" i="5"/>
  <c r="AI24" i="5"/>
  <c r="AG24" i="5"/>
  <c r="AE24" i="5"/>
  <c r="Y24" i="5"/>
  <c r="X24" i="5"/>
  <c r="W24" i="5"/>
  <c r="V24" i="5"/>
  <c r="AM23" i="5"/>
  <c r="AJ23" i="5"/>
  <c r="AN23" i="5"/>
  <c r="AA23" i="5"/>
  <c r="AK23" i="5"/>
  <c r="AI23" i="5"/>
  <c r="AG23" i="5"/>
  <c r="AE23" i="5"/>
  <c r="Y23" i="5"/>
  <c r="X23" i="5"/>
  <c r="W23" i="5"/>
  <c r="V23" i="5"/>
  <c r="AM22" i="5"/>
  <c r="AJ22" i="5"/>
  <c r="AN22" i="5"/>
  <c r="AA22" i="5"/>
  <c r="AK22" i="5"/>
  <c r="AI22" i="5"/>
  <c r="AG22" i="5"/>
  <c r="AE22" i="5"/>
  <c r="Y22" i="5"/>
  <c r="X22" i="5"/>
  <c r="W22" i="5"/>
  <c r="V22" i="5"/>
  <c r="AM21" i="5"/>
  <c r="AJ21" i="5"/>
  <c r="AN21" i="5"/>
  <c r="AA21" i="5"/>
  <c r="AK21" i="5"/>
  <c r="AI21" i="5"/>
  <c r="AG21" i="5"/>
  <c r="AE21" i="5"/>
  <c r="Y21" i="5"/>
  <c r="X21" i="5"/>
  <c r="W21" i="5"/>
  <c r="V21" i="5"/>
  <c r="AM20" i="5"/>
  <c r="AJ20" i="5"/>
  <c r="AN20" i="5"/>
  <c r="AA20" i="5"/>
  <c r="AK20" i="5"/>
  <c r="AI20" i="5"/>
  <c r="AG20" i="5"/>
  <c r="AE20" i="5"/>
  <c r="Y20" i="5"/>
  <c r="X20" i="5"/>
  <c r="W20" i="5"/>
  <c r="V20" i="5"/>
  <c r="AM19" i="5"/>
  <c r="AJ19" i="5"/>
  <c r="AN19" i="5"/>
  <c r="AA19" i="5"/>
  <c r="AK19" i="5"/>
  <c r="AI19" i="5"/>
  <c r="AG19" i="5"/>
  <c r="AE19" i="5"/>
  <c r="Y19" i="5"/>
  <c r="X19" i="5"/>
  <c r="W19" i="5"/>
  <c r="V19" i="5"/>
  <c r="AM18" i="5"/>
  <c r="AJ18" i="5"/>
  <c r="AN18" i="5"/>
  <c r="AA18" i="5"/>
  <c r="AK18" i="5"/>
  <c r="AI18" i="5"/>
  <c r="AG18" i="5"/>
  <c r="AE18" i="5"/>
  <c r="Y18" i="5"/>
  <c r="X18" i="5"/>
  <c r="W18" i="5"/>
  <c r="V18" i="5"/>
  <c r="AM17" i="5"/>
  <c r="AJ17" i="5"/>
  <c r="AN17" i="5"/>
  <c r="AA17" i="5"/>
  <c r="AK17" i="5"/>
  <c r="AI17" i="5"/>
  <c r="AG17" i="5"/>
  <c r="AE17" i="5"/>
  <c r="Y17" i="5"/>
  <c r="X17" i="5"/>
  <c r="W17" i="5"/>
  <c r="V17" i="5"/>
  <c r="AM16" i="5"/>
  <c r="AJ16" i="5"/>
  <c r="AN16" i="5"/>
  <c r="AA16" i="5"/>
  <c r="AK16" i="5"/>
  <c r="AI16" i="5"/>
  <c r="AG16" i="5"/>
  <c r="AE16" i="5"/>
  <c r="Y16" i="5"/>
  <c r="X16" i="5"/>
  <c r="W16" i="5"/>
  <c r="V16" i="5"/>
  <c r="AM15" i="5"/>
  <c r="AJ15" i="5"/>
  <c r="AN15" i="5"/>
  <c r="AA15" i="5"/>
  <c r="AK15" i="5"/>
  <c r="AI15" i="5"/>
  <c r="AG15" i="5"/>
  <c r="AE15" i="5"/>
  <c r="Y15" i="5"/>
  <c r="X15" i="5"/>
  <c r="W15" i="5"/>
  <c r="V15" i="5"/>
  <c r="AM14" i="5"/>
  <c r="AJ14" i="5"/>
  <c r="AN14" i="5"/>
  <c r="AA14" i="5"/>
  <c r="AK14" i="5"/>
  <c r="AI14" i="5"/>
  <c r="AG14" i="5"/>
  <c r="AE14" i="5"/>
  <c r="Y14" i="5"/>
  <c r="X14" i="5"/>
  <c r="W14" i="5"/>
  <c r="V14" i="5"/>
  <c r="AM13" i="5"/>
  <c r="AJ13" i="5"/>
  <c r="AN13" i="5"/>
  <c r="AA13" i="5"/>
  <c r="AK13" i="5"/>
  <c r="AI13" i="5"/>
  <c r="AG13" i="5"/>
  <c r="AE13" i="5"/>
  <c r="Y13" i="5"/>
  <c r="X13" i="5"/>
  <c r="W13" i="5"/>
  <c r="V13" i="5"/>
  <c r="AM12" i="5"/>
  <c r="AJ12" i="5"/>
  <c r="AN12" i="5"/>
  <c r="AA12" i="5"/>
  <c r="AK12" i="5"/>
  <c r="AI12" i="5"/>
  <c r="AG12" i="5"/>
  <c r="AE12" i="5"/>
  <c r="Y12" i="5"/>
  <c r="X12" i="5"/>
  <c r="W12" i="5"/>
  <c r="V12" i="5"/>
  <c r="AM11" i="5"/>
  <c r="AJ11" i="5"/>
  <c r="AN11" i="5"/>
  <c r="AA11" i="5"/>
  <c r="AK11" i="5"/>
  <c r="AI11" i="5"/>
  <c r="AG11" i="5"/>
  <c r="AE11" i="5"/>
  <c r="Y11" i="5"/>
  <c r="X11" i="5"/>
  <c r="W11" i="5"/>
  <c r="V11" i="5"/>
  <c r="AM10" i="5"/>
  <c r="AJ10" i="5"/>
  <c r="AN10" i="5"/>
  <c r="AA10" i="5"/>
  <c r="AK10" i="5"/>
  <c r="AI10" i="5"/>
  <c r="AG10" i="5"/>
  <c r="AE10" i="5"/>
  <c r="Y10" i="5"/>
  <c r="X10" i="5"/>
  <c r="W10" i="5"/>
  <c r="V10" i="5"/>
  <c r="AM9" i="5"/>
  <c r="AJ9" i="5"/>
  <c r="AN9" i="5"/>
  <c r="AA9" i="5"/>
  <c r="AK9" i="5"/>
  <c r="AI9" i="5"/>
  <c r="AG9" i="5"/>
  <c r="AE9" i="5"/>
  <c r="Y9" i="5"/>
  <c r="X9" i="5"/>
  <c r="W9" i="5"/>
  <c r="V9" i="5"/>
  <c r="AM8" i="5"/>
  <c r="AJ8" i="5"/>
  <c r="AN8" i="5"/>
  <c r="AA8" i="5"/>
  <c r="AK8" i="5"/>
  <c r="AI8" i="5"/>
  <c r="AG8" i="5"/>
  <c r="AE8" i="5"/>
  <c r="Y8" i="5"/>
  <c r="X8" i="5"/>
  <c r="W8" i="5"/>
  <c r="V8" i="5"/>
  <c r="AM7" i="5"/>
  <c r="AJ7" i="5"/>
  <c r="AN7" i="5"/>
  <c r="AA7" i="5"/>
  <c r="AK7" i="5"/>
  <c r="AI7" i="5"/>
  <c r="AG7" i="5"/>
  <c r="AE7" i="5"/>
  <c r="Y7" i="5"/>
  <c r="X7" i="5"/>
  <c r="W7" i="5"/>
  <c r="V7" i="5"/>
  <c r="AM6" i="5"/>
  <c r="AJ6" i="5"/>
  <c r="AN6" i="5"/>
  <c r="AA6" i="5"/>
  <c r="AK6" i="5"/>
  <c r="AI6" i="5"/>
  <c r="AG6" i="5"/>
  <c r="AE6" i="5"/>
  <c r="Y6" i="5"/>
  <c r="X6" i="5"/>
  <c r="W6" i="5"/>
  <c r="V6" i="5"/>
  <c r="AM5" i="5"/>
  <c r="AJ5" i="5"/>
  <c r="AN5" i="5"/>
  <c r="AA5" i="5"/>
  <c r="AK5" i="5"/>
  <c r="AI5" i="5"/>
  <c r="AG5" i="5"/>
  <c r="AE5" i="5"/>
  <c r="Y5" i="5"/>
  <c r="X5" i="5"/>
  <c r="W5" i="5"/>
  <c r="V5" i="5"/>
  <c r="AM4" i="5"/>
  <c r="AJ4" i="5"/>
  <c r="AN4" i="5"/>
  <c r="AA4" i="5"/>
  <c r="AK4" i="5"/>
  <c r="AI4" i="5"/>
  <c r="AG4" i="5"/>
  <c r="AE4" i="5"/>
  <c r="Y4" i="5"/>
  <c r="R4" i="5"/>
  <c r="X4" i="5"/>
  <c r="W4" i="5"/>
  <c r="V4" i="5"/>
  <c r="R40" i="4"/>
  <c r="V40" i="4"/>
  <c r="W40" i="4"/>
  <c r="X40" i="4"/>
  <c r="Y40" i="4"/>
  <c r="Z40" i="4"/>
  <c r="AA40" i="4"/>
  <c r="AB40" i="4"/>
  <c r="AG40" i="4"/>
  <c r="AI40" i="4"/>
  <c r="AJ40" i="4"/>
  <c r="AK40" i="4"/>
  <c r="AM40" i="4"/>
  <c r="AN40" i="4"/>
  <c r="R41" i="4"/>
  <c r="V41" i="4"/>
  <c r="W41" i="4"/>
  <c r="X41" i="4"/>
  <c r="Y41" i="4"/>
  <c r="Z41" i="4"/>
  <c r="AA41" i="4"/>
  <c r="AB41" i="4"/>
  <c r="AG41" i="4"/>
  <c r="AI41" i="4"/>
  <c r="AJ41" i="4"/>
  <c r="AK41" i="4"/>
  <c r="AM41" i="4"/>
  <c r="AN41" i="4"/>
  <c r="R42" i="4"/>
  <c r="V42" i="4"/>
  <c r="W42" i="4"/>
  <c r="X42" i="4"/>
  <c r="Y42" i="4"/>
  <c r="Z42" i="4"/>
  <c r="AA42" i="4"/>
  <c r="AB42" i="4"/>
  <c r="AG42" i="4"/>
  <c r="AI42" i="4"/>
  <c r="AJ42" i="4"/>
  <c r="AK42" i="4"/>
  <c r="AM42" i="4"/>
  <c r="AN42" i="4"/>
  <c r="Q42" i="4"/>
  <c r="Q41" i="4"/>
  <c r="R37" i="4"/>
  <c r="V37" i="4"/>
  <c r="W37" i="4"/>
  <c r="X37" i="4"/>
  <c r="Y37" i="4"/>
  <c r="Z37" i="4"/>
  <c r="AA37" i="4"/>
  <c r="AB37" i="4"/>
  <c r="AG37" i="4"/>
  <c r="AI37" i="4"/>
  <c r="AJ37" i="4"/>
  <c r="AK37" i="4"/>
  <c r="AM37" i="4"/>
  <c r="AN37" i="4"/>
  <c r="R38" i="4"/>
  <c r="V38" i="4"/>
  <c r="W38" i="4"/>
  <c r="X38" i="4"/>
  <c r="Y38" i="4"/>
  <c r="Z38" i="4"/>
  <c r="AA38" i="4"/>
  <c r="AB38" i="4"/>
  <c r="AG38" i="4"/>
  <c r="AI38" i="4"/>
  <c r="AJ38" i="4"/>
  <c r="AK38" i="4"/>
  <c r="AM38" i="4"/>
  <c r="AN38" i="4"/>
  <c r="R39" i="4"/>
  <c r="V39" i="4"/>
  <c r="W39" i="4"/>
  <c r="X39" i="4"/>
  <c r="Y39" i="4"/>
  <c r="Z39" i="4"/>
  <c r="AA39" i="4"/>
  <c r="AB39" i="4"/>
  <c r="AG39" i="4"/>
  <c r="AI39" i="4"/>
  <c r="AJ39" i="4"/>
  <c r="AK39" i="4"/>
  <c r="AM39" i="4"/>
  <c r="AN39" i="4"/>
  <c r="Q39" i="4"/>
  <c r="Q38" i="4"/>
  <c r="Q37" i="4"/>
  <c r="Q36" i="4"/>
  <c r="Q35" i="4"/>
  <c r="Q34" i="4"/>
  <c r="Q32" i="4"/>
  <c r="Q31" i="4"/>
  <c r="Q30" i="4"/>
  <c r="Q29" i="4"/>
  <c r="Q26" i="4"/>
  <c r="Q25" i="4"/>
  <c r="Q17" i="4"/>
  <c r="Q16" i="4"/>
  <c r="Q15" i="4"/>
  <c r="Z36" i="4"/>
  <c r="AB36" i="4"/>
  <c r="AM36" i="4"/>
  <c r="AJ36" i="4"/>
  <c r="AN36" i="4"/>
  <c r="AA36" i="4"/>
  <c r="AK36" i="4"/>
  <c r="AI36" i="4"/>
  <c r="AG36" i="4"/>
  <c r="Y36" i="4"/>
  <c r="R36" i="4"/>
  <c r="X36" i="4"/>
  <c r="W36" i="4"/>
  <c r="V36" i="4"/>
  <c r="Z35" i="4"/>
  <c r="AB35" i="4"/>
  <c r="AM35" i="4"/>
  <c r="AJ35" i="4"/>
  <c r="AN35" i="4"/>
  <c r="AA35" i="4"/>
  <c r="AK35" i="4"/>
  <c r="AI35" i="4"/>
  <c r="AG35" i="4"/>
  <c r="Y35" i="4"/>
  <c r="R35" i="4"/>
  <c r="X35" i="4"/>
  <c r="W35" i="4"/>
  <c r="V35" i="4"/>
  <c r="Z34" i="4"/>
  <c r="AB34" i="4"/>
  <c r="AM34" i="4"/>
  <c r="AJ34" i="4"/>
  <c r="AN34" i="4"/>
  <c r="AA34" i="4"/>
  <c r="AK34" i="4"/>
  <c r="AI34" i="4"/>
  <c r="AG34" i="4"/>
  <c r="Y34" i="4"/>
  <c r="R34" i="4"/>
  <c r="X34" i="4"/>
  <c r="W34" i="4"/>
  <c r="V34" i="4"/>
  <c r="Z33" i="4"/>
  <c r="AB33" i="4"/>
  <c r="AM33" i="4"/>
  <c r="AJ33" i="4"/>
  <c r="AN33" i="4"/>
  <c r="AA33" i="4"/>
  <c r="AK33" i="4"/>
  <c r="AI33" i="4"/>
  <c r="AG33" i="4"/>
  <c r="Y33" i="4"/>
  <c r="R33" i="4"/>
  <c r="X33" i="4"/>
  <c r="W33" i="4"/>
  <c r="V33" i="4"/>
  <c r="Z32" i="4"/>
  <c r="AB32" i="4"/>
  <c r="AM32" i="4"/>
  <c r="AJ32" i="4"/>
  <c r="AN32" i="4"/>
  <c r="AA32" i="4"/>
  <c r="AK32" i="4"/>
  <c r="AI32" i="4"/>
  <c r="AG32" i="4"/>
  <c r="Y32" i="4"/>
  <c r="R32" i="4"/>
  <c r="X32" i="4"/>
  <c r="W32" i="4"/>
  <c r="V32" i="4"/>
  <c r="Z31" i="4"/>
  <c r="AB31" i="4"/>
  <c r="AM31" i="4"/>
  <c r="AJ31" i="4"/>
  <c r="AN31" i="4"/>
  <c r="AA31" i="4"/>
  <c r="AK31" i="4"/>
  <c r="AI31" i="4"/>
  <c r="AG31" i="4"/>
  <c r="Y31" i="4"/>
  <c r="R31" i="4"/>
  <c r="X31" i="4"/>
  <c r="W31" i="4"/>
  <c r="V31" i="4"/>
  <c r="Z30" i="4"/>
  <c r="AB30" i="4"/>
  <c r="AM30" i="4"/>
  <c r="AJ30" i="4"/>
  <c r="AN30" i="4"/>
  <c r="AA30" i="4"/>
  <c r="AK30" i="4"/>
  <c r="AI30" i="4"/>
  <c r="AG30" i="4"/>
  <c r="Y30" i="4"/>
  <c r="R30" i="4"/>
  <c r="X30" i="4"/>
  <c r="W30" i="4"/>
  <c r="V30" i="4"/>
  <c r="Z29" i="4"/>
  <c r="AB29" i="4"/>
  <c r="AM29" i="4"/>
  <c r="AJ29" i="4"/>
  <c r="AN29" i="4"/>
  <c r="AA29" i="4"/>
  <c r="AK29" i="4"/>
  <c r="AI29" i="4"/>
  <c r="AG29" i="4"/>
  <c r="Y29" i="4"/>
  <c r="R29" i="4"/>
  <c r="X29" i="4"/>
  <c r="W29" i="4"/>
  <c r="V29" i="4"/>
  <c r="Z28" i="4"/>
  <c r="AB28" i="4"/>
  <c r="AM28" i="4"/>
  <c r="AN28" i="4"/>
  <c r="AA28" i="4"/>
  <c r="AK28" i="4"/>
  <c r="AI28" i="4"/>
  <c r="AG28" i="4"/>
  <c r="Y28" i="4"/>
  <c r="R28" i="4"/>
  <c r="X28" i="4"/>
  <c r="W28" i="4"/>
  <c r="V28" i="4"/>
  <c r="Z27" i="4"/>
  <c r="AB27" i="4"/>
  <c r="AM27" i="4"/>
  <c r="AJ27" i="4"/>
  <c r="AN27" i="4"/>
  <c r="AA27" i="4"/>
  <c r="AK27" i="4"/>
  <c r="AI27" i="4"/>
  <c r="AG27" i="4"/>
  <c r="Y27" i="4"/>
  <c r="R27" i="4"/>
  <c r="X27" i="4"/>
  <c r="W27" i="4"/>
  <c r="V27" i="4"/>
  <c r="Z26" i="4"/>
  <c r="AB26" i="4"/>
  <c r="AM26" i="4"/>
  <c r="AJ26" i="4"/>
  <c r="AN26" i="4"/>
  <c r="AA26" i="4"/>
  <c r="AK26" i="4"/>
  <c r="AI26" i="4"/>
  <c r="AG26" i="4"/>
  <c r="Y26" i="4"/>
  <c r="R26" i="4"/>
  <c r="X26" i="4"/>
  <c r="W26" i="4"/>
  <c r="V26" i="4"/>
  <c r="Z25" i="4"/>
  <c r="AB25" i="4"/>
  <c r="AM25" i="4"/>
  <c r="AJ25" i="4"/>
  <c r="AN25" i="4"/>
  <c r="AA25" i="4"/>
  <c r="AK25" i="4"/>
  <c r="AI25" i="4"/>
  <c r="AG25" i="4"/>
  <c r="Y25" i="4"/>
  <c r="R25" i="4"/>
  <c r="X25" i="4"/>
  <c r="W25" i="4"/>
  <c r="V25" i="4"/>
  <c r="Z24" i="4"/>
  <c r="AB24" i="4"/>
  <c r="AM24" i="4"/>
  <c r="AJ24" i="4"/>
  <c r="AN24" i="4"/>
  <c r="AA24" i="4"/>
  <c r="AK24" i="4"/>
  <c r="AI24" i="4"/>
  <c r="AG24" i="4"/>
  <c r="Y24" i="4"/>
  <c r="R24" i="4"/>
  <c r="X24" i="4"/>
  <c r="W24" i="4"/>
  <c r="V24" i="4"/>
  <c r="Z23" i="4"/>
  <c r="AB23" i="4"/>
  <c r="AM23" i="4"/>
  <c r="AJ23" i="4"/>
  <c r="AN23" i="4"/>
  <c r="AA23" i="4"/>
  <c r="AK23" i="4"/>
  <c r="AI23" i="4"/>
  <c r="AG23" i="4"/>
  <c r="Y23" i="4"/>
  <c r="R23" i="4"/>
  <c r="X23" i="4"/>
  <c r="W23" i="4"/>
  <c r="V23" i="4"/>
  <c r="Z22" i="4"/>
  <c r="AB22" i="4"/>
  <c r="AM22" i="4"/>
  <c r="AJ22" i="4"/>
  <c r="AN22" i="4"/>
  <c r="AA22" i="4"/>
  <c r="AK22" i="4"/>
  <c r="AI22" i="4"/>
  <c r="AG22" i="4"/>
  <c r="Y22" i="4"/>
  <c r="R22" i="4"/>
  <c r="X22" i="4"/>
  <c r="W22" i="4"/>
  <c r="V22" i="4"/>
  <c r="Z21" i="4"/>
  <c r="AB21" i="4"/>
  <c r="AM21" i="4"/>
  <c r="AJ21" i="4"/>
  <c r="AN21" i="4"/>
  <c r="AA21" i="4"/>
  <c r="AK21" i="4"/>
  <c r="AI21" i="4"/>
  <c r="AG21" i="4"/>
  <c r="Y21" i="4"/>
  <c r="R21" i="4"/>
  <c r="X21" i="4"/>
  <c r="W21" i="4"/>
  <c r="V21" i="4"/>
  <c r="Z20" i="4"/>
  <c r="AB20" i="4"/>
  <c r="AM20" i="4"/>
  <c r="AJ20" i="4"/>
  <c r="AN20" i="4"/>
  <c r="AA20" i="4"/>
  <c r="AK20" i="4"/>
  <c r="AI20" i="4"/>
  <c r="AG20" i="4"/>
  <c r="Y20" i="4"/>
  <c r="R20" i="4"/>
  <c r="X20" i="4"/>
  <c r="W20" i="4"/>
  <c r="V20" i="4"/>
  <c r="Z19" i="4"/>
  <c r="AB19" i="4"/>
  <c r="AM19" i="4"/>
  <c r="AJ19" i="4"/>
  <c r="AN19" i="4"/>
  <c r="AA19" i="4"/>
  <c r="AK19" i="4"/>
  <c r="AI19" i="4"/>
  <c r="AG19" i="4"/>
  <c r="Y19" i="4"/>
  <c r="R19" i="4"/>
  <c r="X19" i="4"/>
  <c r="W19" i="4"/>
  <c r="V19" i="4"/>
  <c r="Z18" i="4"/>
  <c r="AB18" i="4"/>
  <c r="AM18" i="4"/>
  <c r="AJ18" i="4"/>
  <c r="AN18" i="4"/>
  <c r="AA18" i="4"/>
  <c r="AK18" i="4"/>
  <c r="AI18" i="4"/>
  <c r="AG18" i="4"/>
  <c r="Y18" i="4"/>
  <c r="R18" i="4"/>
  <c r="X18" i="4"/>
  <c r="W18" i="4"/>
  <c r="V18" i="4"/>
  <c r="Z17" i="4"/>
  <c r="AB17" i="4"/>
  <c r="AM17" i="4"/>
  <c r="AJ17" i="4"/>
  <c r="AN17" i="4"/>
  <c r="AA17" i="4"/>
  <c r="AK17" i="4"/>
  <c r="AI17" i="4"/>
  <c r="AG17" i="4"/>
  <c r="Y17" i="4"/>
  <c r="R17" i="4"/>
  <c r="X17" i="4"/>
  <c r="W17" i="4"/>
  <c r="V17" i="4"/>
  <c r="Z16" i="4"/>
  <c r="AB16" i="4"/>
  <c r="AM16" i="4"/>
  <c r="AJ16" i="4"/>
  <c r="AN16" i="4"/>
  <c r="AA16" i="4"/>
  <c r="AK16" i="4"/>
  <c r="AI16" i="4"/>
  <c r="AG16" i="4"/>
  <c r="Y16" i="4"/>
  <c r="R16" i="4"/>
  <c r="X16" i="4"/>
  <c r="W16" i="4"/>
  <c r="V16" i="4"/>
  <c r="Z15" i="4"/>
  <c r="AB15" i="4"/>
  <c r="AM15" i="4"/>
  <c r="AJ15" i="4"/>
  <c r="AN15" i="4"/>
  <c r="AA15" i="4"/>
  <c r="AK15" i="4"/>
  <c r="AI15" i="4"/>
  <c r="AG15" i="4"/>
  <c r="Y15" i="4"/>
  <c r="R15" i="4"/>
  <c r="X15" i="4"/>
  <c r="W15" i="4"/>
  <c r="V15" i="4"/>
  <c r="Z14" i="4"/>
  <c r="AB14" i="4"/>
  <c r="AM14" i="4"/>
  <c r="AJ14" i="4"/>
  <c r="AN14" i="4"/>
  <c r="AA14" i="4"/>
  <c r="AK14" i="4"/>
  <c r="AI14" i="4"/>
  <c r="AG14" i="4"/>
  <c r="Y14" i="4"/>
  <c r="R14" i="4"/>
  <c r="X14" i="4"/>
  <c r="W14" i="4"/>
  <c r="V14" i="4"/>
  <c r="Z13" i="4"/>
  <c r="AB13" i="4"/>
  <c r="AM13" i="4"/>
  <c r="AJ13" i="4"/>
  <c r="AN13" i="4"/>
  <c r="AA13" i="4"/>
  <c r="AK13" i="4"/>
  <c r="AI13" i="4"/>
  <c r="AG13" i="4"/>
  <c r="Y13" i="4"/>
  <c r="R13" i="4"/>
  <c r="X13" i="4"/>
  <c r="W13" i="4"/>
  <c r="V13" i="4"/>
  <c r="Z12" i="4"/>
  <c r="AB12" i="4"/>
  <c r="AM12" i="4"/>
  <c r="AJ12" i="4"/>
  <c r="AN12" i="4"/>
  <c r="AA12" i="4"/>
  <c r="AK12" i="4"/>
  <c r="AI12" i="4"/>
  <c r="AG12" i="4"/>
  <c r="Y12" i="4"/>
  <c r="R12" i="4"/>
  <c r="X12" i="4"/>
  <c r="W12" i="4"/>
  <c r="V12" i="4"/>
  <c r="Z11" i="4"/>
  <c r="AB11" i="4"/>
  <c r="AM11" i="4"/>
  <c r="AJ11" i="4"/>
  <c r="AN11" i="4"/>
  <c r="AA11" i="4"/>
  <c r="AK11" i="4"/>
  <c r="AI11" i="4"/>
  <c r="AG11" i="4"/>
  <c r="Y11" i="4"/>
  <c r="R11" i="4"/>
  <c r="X11" i="4"/>
  <c r="W11" i="4"/>
  <c r="V11" i="4"/>
  <c r="Z10" i="4"/>
  <c r="AB10" i="4"/>
  <c r="AM10" i="4"/>
  <c r="AJ10" i="4"/>
  <c r="AN10" i="4"/>
  <c r="AA10" i="4"/>
  <c r="AK10" i="4"/>
  <c r="AI10" i="4"/>
  <c r="AG10" i="4"/>
  <c r="Y10" i="4"/>
  <c r="R10" i="4"/>
  <c r="X10" i="4"/>
  <c r="W10" i="4"/>
  <c r="V10" i="4"/>
  <c r="Z9" i="4"/>
  <c r="AB9" i="4"/>
  <c r="AM9" i="4"/>
  <c r="AJ9" i="4"/>
  <c r="AN9" i="4"/>
  <c r="AA9" i="4"/>
  <c r="AK9" i="4"/>
  <c r="AI9" i="4"/>
  <c r="AG9" i="4"/>
  <c r="Y9" i="4"/>
  <c r="R9" i="4"/>
  <c r="X9" i="4"/>
  <c r="W9" i="4"/>
  <c r="V9" i="4"/>
  <c r="Z8" i="4"/>
  <c r="AB8" i="4"/>
  <c r="AM8" i="4"/>
  <c r="AJ8" i="4"/>
  <c r="AN8" i="4"/>
  <c r="AA8" i="4"/>
  <c r="AK8" i="4"/>
  <c r="AI8" i="4"/>
  <c r="AG8" i="4"/>
  <c r="Y8" i="4"/>
  <c r="R8" i="4"/>
  <c r="X8" i="4"/>
  <c r="W8" i="4"/>
  <c r="V8" i="4"/>
  <c r="Z7" i="4"/>
  <c r="AB7" i="4"/>
  <c r="AM7" i="4"/>
  <c r="AJ7" i="4"/>
  <c r="AN7" i="4"/>
  <c r="AA7" i="4"/>
  <c r="AK7" i="4"/>
  <c r="AI7" i="4"/>
  <c r="AG7" i="4"/>
  <c r="Y7" i="4"/>
  <c r="R7" i="4"/>
  <c r="X7" i="4"/>
  <c r="W7" i="4"/>
  <c r="V7" i="4"/>
  <c r="Z6" i="4"/>
  <c r="AB6" i="4"/>
  <c r="AM6" i="4"/>
  <c r="AJ6" i="4"/>
  <c r="AN6" i="4"/>
  <c r="AA6" i="4"/>
  <c r="AK6" i="4"/>
  <c r="AI6" i="4"/>
  <c r="AG6" i="4"/>
  <c r="Y6" i="4"/>
  <c r="R6" i="4"/>
  <c r="X6" i="4"/>
  <c r="W6" i="4"/>
  <c r="V6" i="4"/>
  <c r="Z5" i="4"/>
  <c r="AB5" i="4"/>
  <c r="AM5" i="4"/>
  <c r="AJ5" i="4"/>
  <c r="AN5" i="4"/>
  <c r="AA5" i="4"/>
  <c r="AK5" i="4"/>
  <c r="AI5" i="4"/>
  <c r="AG5" i="4"/>
  <c r="Y5" i="4"/>
  <c r="R5" i="4"/>
  <c r="X5" i="4"/>
  <c r="W5" i="4"/>
  <c r="V5" i="4"/>
  <c r="Z4" i="4"/>
  <c r="AB4" i="4"/>
  <c r="AM4" i="4"/>
  <c r="AJ4" i="4"/>
  <c r="AN4" i="4"/>
  <c r="AA4" i="4"/>
  <c r="AK4" i="4"/>
  <c r="AI4" i="4"/>
  <c r="AG4" i="4"/>
  <c r="AE4" i="4"/>
  <c r="Y4" i="4"/>
  <c r="R4" i="4"/>
  <c r="X4" i="4"/>
  <c r="W4" i="4"/>
  <c r="V4" i="4"/>
  <c r="AC5" i="3"/>
  <c r="AC6" i="3"/>
  <c r="AC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4" i="3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4" i="1"/>
  <c r="Q36" i="3"/>
  <c r="Q35" i="3"/>
  <c r="Q34" i="3"/>
  <c r="Q33" i="3"/>
  <c r="Q32" i="3"/>
  <c r="Q31" i="3"/>
  <c r="Q30" i="3"/>
  <c r="Q29" i="3"/>
  <c r="Q28" i="3"/>
  <c r="Q27" i="3"/>
  <c r="Q26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Z5" i="3"/>
  <c r="AB5" i="3"/>
  <c r="Z6" i="3"/>
  <c r="AB6" i="3"/>
  <c r="Z7" i="3"/>
  <c r="AB7" i="3"/>
  <c r="Z8" i="3"/>
  <c r="AB8" i="3"/>
  <c r="Z9" i="3"/>
  <c r="AB9" i="3"/>
  <c r="Z10" i="3"/>
  <c r="AB10" i="3"/>
  <c r="Z11" i="3"/>
  <c r="AB11" i="3"/>
  <c r="Z12" i="3"/>
  <c r="AB12" i="3"/>
  <c r="Z13" i="3"/>
  <c r="AB13" i="3"/>
  <c r="Z14" i="3"/>
  <c r="AB14" i="3"/>
  <c r="Z15" i="3"/>
  <c r="AB15" i="3"/>
  <c r="Z16" i="3"/>
  <c r="AB16" i="3"/>
  <c r="Z17" i="3"/>
  <c r="AB17" i="3"/>
  <c r="Z18" i="3"/>
  <c r="AB18" i="3"/>
  <c r="Z19" i="3"/>
  <c r="AB19" i="3"/>
  <c r="Z20" i="3"/>
  <c r="AB20" i="3"/>
  <c r="Z21" i="3"/>
  <c r="AB21" i="3"/>
  <c r="Z22" i="3"/>
  <c r="AB22" i="3"/>
  <c r="Z23" i="3"/>
  <c r="AB23" i="3"/>
  <c r="Z24" i="3"/>
  <c r="AB24" i="3"/>
  <c r="Z25" i="3"/>
  <c r="AB25" i="3"/>
  <c r="Z26" i="3"/>
  <c r="AB26" i="3"/>
  <c r="Z27" i="3"/>
  <c r="AB27" i="3"/>
  <c r="Z28" i="3"/>
  <c r="AB28" i="3"/>
  <c r="Z29" i="3"/>
  <c r="AB29" i="3"/>
  <c r="Z30" i="3"/>
  <c r="AB30" i="3"/>
  <c r="Z31" i="3"/>
  <c r="AB31" i="3"/>
  <c r="Z32" i="3"/>
  <c r="AB32" i="3"/>
  <c r="Z33" i="3"/>
  <c r="AB33" i="3"/>
  <c r="Z34" i="3"/>
  <c r="AB34" i="3"/>
  <c r="Z35" i="3"/>
  <c r="AB35" i="3"/>
  <c r="Z36" i="3"/>
  <c r="AB36" i="3"/>
  <c r="Z4" i="3"/>
  <c r="AB4" i="3"/>
  <c r="AM36" i="3"/>
  <c r="AJ36" i="3"/>
  <c r="AN36" i="3"/>
  <c r="AA36" i="3"/>
  <c r="AK36" i="3"/>
  <c r="AI36" i="3"/>
  <c r="AG36" i="3"/>
  <c r="AE36" i="3"/>
  <c r="Y36" i="3"/>
  <c r="X36" i="3"/>
  <c r="W36" i="3"/>
  <c r="V36" i="3"/>
  <c r="AM35" i="3"/>
  <c r="AJ35" i="3"/>
  <c r="AN35" i="3"/>
  <c r="AA35" i="3"/>
  <c r="AK35" i="3"/>
  <c r="AI35" i="3"/>
  <c r="AG35" i="3"/>
  <c r="AE35" i="3"/>
  <c r="Y35" i="3"/>
  <c r="X35" i="3"/>
  <c r="W35" i="3"/>
  <c r="V35" i="3"/>
  <c r="AM34" i="3"/>
  <c r="AJ34" i="3"/>
  <c r="AN34" i="3"/>
  <c r="AA34" i="3"/>
  <c r="AK34" i="3"/>
  <c r="AI34" i="3"/>
  <c r="AG34" i="3"/>
  <c r="AE34" i="3"/>
  <c r="Y34" i="3"/>
  <c r="X34" i="3"/>
  <c r="W34" i="3"/>
  <c r="V34" i="3"/>
  <c r="AM33" i="3"/>
  <c r="AJ33" i="3"/>
  <c r="AN33" i="3"/>
  <c r="AA33" i="3"/>
  <c r="AK33" i="3"/>
  <c r="AI33" i="3"/>
  <c r="AG33" i="3"/>
  <c r="AE33" i="3"/>
  <c r="Y33" i="3"/>
  <c r="X33" i="3"/>
  <c r="W33" i="3"/>
  <c r="V33" i="3"/>
  <c r="AM32" i="3"/>
  <c r="AJ32" i="3"/>
  <c r="AN32" i="3"/>
  <c r="AA32" i="3"/>
  <c r="AK32" i="3"/>
  <c r="AI32" i="3"/>
  <c r="AG32" i="3"/>
  <c r="AE32" i="3"/>
  <c r="Y32" i="3"/>
  <c r="X32" i="3"/>
  <c r="W32" i="3"/>
  <c r="V32" i="3"/>
  <c r="AM31" i="3"/>
  <c r="AJ31" i="3"/>
  <c r="AN31" i="3"/>
  <c r="AA31" i="3"/>
  <c r="AK31" i="3"/>
  <c r="AI31" i="3"/>
  <c r="AG31" i="3"/>
  <c r="AE31" i="3"/>
  <c r="Y31" i="3"/>
  <c r="X31" i="3"/>
  <c r="W31" i="3"/>
  <c r="V31" i="3"/>
  <c r="AM30" i="3"/>
  <c r="AJ30" i="3"/>
  <c r="AN30" i="3"/>
  <c r="AA30" i="3"/>
  <c r="AK30" i="3"/>
  <c r="AI30" i="3"/>
  <c r="AG30" i="3"/>
  <c r="AE30" i="3"/>
  <c r="Y30" i="3"/>
  <c r="X30" i="3"/>
  <c r="W30" i="3"/>
  <c r="V30" i="3"/>
  <c r="AM29" i="3"/>
  <c r="AJ29" i="3"/>
  <c r="AN29" i="3"/>
  <c r="AA29" i="3"/>
  <c r="AK29" i="3"/>
  <c r="AI29" i="3"/>
  <c r="AG29" i="3"/>
  <c r="AE29" i="3"/>
  <c r="Y29" i="3"/>
  <c r="X29" i="3"/>
  <c r="W29" i="3"/>
  <c r="V29" i="3"/>
  <c r="AM28" i="3"/>
  <c r="AJ28" i="3"/>
  <c r="AN28" i="3"/>
  <c r="AA28" i="3"/>
  <c r="AK28" i="3"/>
  <c r="AI28" i="3"/>
  <c r="AG28" i="3"/>
  <c r="AE28" i="3"/>
  <c r="Y28" i="3"/>
  <c r="X28" i="3"/>
  <c r="W28" i="3"/>
  <c r="V28" i="3"/>
  <c r="AM27" i="3"/>
  <c r="AJ27" i="3"/>
  <c r="AN27" i="3"/>
  <c r="AA27" i="3"/>
  <c r="AK27" i="3"/>
  <c r="AI27" i="3"/>
  <c r="AG27" i="3"/>
  <c r="AE27" i="3"/>
  <c r="Y27" i="3"/>
  <c r="X27" i="3"/>
  <c r="W27" i="3"/>
  <c r="V27" i="3"/>
  <c r="AM26" i="3"/>
  <c r="AJ26" i="3"/>
  <c r="AN26" i="3"/>
  <c r="AA26" i="3"/>
  <c r="AK26" i="3"/>
  <c r="AI26" i="3"/>
  <c r="AG26" i="3"/>
  <c r="AE26" i="3"/>
  <c r="Y26" i="3"/>
  <c r="X26" i="3"/>
  <c r="W26" i="3"/>
  <c r="V26" i="3"/>
  <c r="AM25" i="3"/>
  <c r="AJ25" i="3"/>
  <c r="AN25" i="3"/>
  <c r="AA25" i="3"/>
  <c r="AK25" i="3"/>
  <c r="AI25" i="3"/>
  <c r="AG25" i="3"/>
  <c r="AE25" i="3"/>
  <c r="Y25" i="3"/>
  <c r="X25" i="3"/>
  <c r="W25" i="3"/>
  <c r="V25" i="3"/>
  <c r="AM24" i="3"/>
  <c r="AJ24" i="3"/>
  <c r="AN24" i="3"/>
  <c r="AA24" i="3"/>
  <c r="AK24" i="3"/>
  <c r="AI24" i="3"/>
  <c r="AG24" i="3"/>
  <c r="AE24" i="3"/>
  <c r="Y24" i="3"/>
  <c r="X24" i="3"/>
  <c r="W24" i="3"/>
  <c r="V24" i="3"/>
  <c r="AM23" i="3"/>
  <c r="AJ23" i="3"/>
  <c r="AN23" i="3"/>
  <c r="AA23" i="3"/>
  <c r="AK23" i="3"/>
  <c r="AI23" i="3"/>
  <c r="AG23" i="3"/>
  <c r="AE23" i="3"/>
  <c r="Y23" i="3"/>
  <c r="X23" i="3"/>
  <c r="W23" i="3"/>
  <c r="V23" i="3"/>
  <c r="AM22" i="3"/>
  <c r="AJ22" i="3"/>
  <c r="AN22" i="3"/>
  <c r="AA22" i="3"/>
  <c r="AK22" i="3"/>
  <c r="AI22" i="3"/>
  <c r="AG22" i="3"/>
  <c r="AE22" i="3"/>
  <c r="Y22" i="3"/>
  <c r="X22" i="3"/>
  <c r="W22" i="3"/>
  <c r="V22" i="3"/>
  <c r="AM21" i="3"/>
  <c r="AJ21" i="3"/>
  <c r="AN21" i="3"/>
  <c r="AA21" i="3"/>
  <c r="AK21" i="3"/>
  <c r="AI21" i="3"/>
  <c r="AG21" i="3"/>
  <c r="AE21" i="3"/>
  <c r="Y21" i="3"/>
  <c r="X21" i="3"/>
  <c r="W21" i="3"/>
  <c r="V21" i="3"/>
  <c r="AM20" i="3"/>
  <c r="AJ20" i="3"/>
  <c r="AN20" i="3"/>
  <c r="AA20" i="3"/>
  <c r="AK20" i="3"/>
  <c r="AI20" i="3"/>
  <c r="AG20" i="3"/>
  <c r="AE20" i="3"/>
  <c r="Y20" i="3"/>
  <c r="X20" i="3"/>
  <c r="W20" i="3"/>
  <c r="V20" i="3"/>
  <c r="AM19" i="3"/>
  <c r="AJ19" i="3"/>
  <c r="AN19" i="3"/>
  <c r="AA19" i="3"/>
  <c r="AK19" i="3"/>
  <c r="AI19" i="3"/>
  <c r="AG19" i="3"/>
  <c r="AE19" i="3"/>
  <c r="Y19" i="3"/>
  <c r="X19" i="3"/>
  <c r="W19" i="3"/>
  <c r="V19" i="3"/>
  <c r="AM18" i="3"/>
  <c r="AJ18" i="3"/>
  <c r="AN18" i="3"/>
  <c r="AA18" i="3"/>
  <c r="AK18" i="3"/>
  <c r="AI18" i="3"/>
  <c r="AG18" i="3"/>
  <c r="AE18" i="3"/>
  <c r="Y18" i="3"/>
  <c r="X18" i="3"/>
  <c r="W18" i="3"/>
  <c r="V18" i="3"/>
  <c r="AM17" i="3"/>
  <c r="AJ17" i="3"/>
  <c r="AN17" i="3"/>
  <c r="AA17" i="3"/>
  <c r="AK17" i="3"/>
  <c r="AI17" i="3"/>
  <c r="AG17" i="3"/>
  <c r="AE17" i="3"/>
  <c r="Y17" i="3"/>
  <c r="X17" i="3"/>
  <c r="W17" i="3"/>
  <c r="V17" i="3"/>
  <c r="AM16" i="3"/>
  <c r="AJ16" i="3"/>
  <c r="AN16" i="3"/>
  <c r="AA16" i="3"/>
  <c r="AK16" i="3"/>
  <c r="AI16" i="3"/>
  <c r="AG16" i="3"/>
  <c r="AE16" i="3"/>
  <c r="Y16" i="3"/>
  <c r="X16" i="3"/>
  <c r="W16" i="3"/>
  <c r="V16" i="3"/>
  <c r="AM15" i="3"/>
  <c r="AJ15" i="3"/>
  <c r="AN15" i="3"/>
  <c r="AA15" i="3"/>
  <c r="AK15" i="3"/>
  <c r="AI15" i="3"/>
  <c r="AG15" i="3"/>
  <c r="AE15" i="3"/>
  <c r="Y15" i="3"/>
  <c r="X15" i="3"/>
  <c r="W15" i="3"/>
  <c r="V15" i="3"/>
  <c r="AM14" i="3"/>
  <c r="AJ14" i="3"/>
  <c r="AN14" i="3"/>
  <c r="AA14" i="3"/>
  <c r="AK14" i="3"/>
  <c r="AI14" i="3"/>
  <c r="AG14" i="3"/>
  <c r="AE14" i="3"/>
  <c r="Y14" i="3"/>
  <c r="X14" i="3"/>
  <c r="W14" i="3"/>
  <c r="V14" i="3"/>
  <c r="AM13" i="3"/>
  <c r="AJ13" i="3"/>
  <c r="AN13" i="3"/>
  <c r="AA13" i="3"/>
  <c r="AK13" i="3"/>
  <c r="AI13" i="3"/>
  <c r="AG13" i="3"/>
  <c r="AE13" i="3"/>
  <c r="Y13" i="3"/>
  <c r="X13" i="3"/>
  <c r="W13" i="3"/>
  <c r="V13" i="3"/>
  <c r="AM12" i="3"/>
  <c r="AJ12" i="3"/>
  <c r="AN12" i="3"/>
  <c r="AA12" i="3"/>
  <c r="AK12" i="3"/>
  <c r="AI12" i="3"/>
  <c r="AG12" i="3"/>
  <c r="AE12" i="3"/>
  <c r="Y12" i="3"/>
  <c r="X12" i="3"/>
  <c r="W12" i="3"/>
  <c r="V12" i="3"/>
  <c r="AM11" i="3"/>
  <c r="AJ11" i="3"/>
  <c r="AN11" i="3"/>
  <c r="AA11" i="3"/>
  <c r="AK11" i="3"/>
  <c r="AI11" i="3"/>
  <c r="AG11" i="3"/>
  <c r="AE11" i="3"/>
  <c r="Y11" i="3"/>
  <c r="X11" i="3"/>
  <c r="W11" i="3"/>
  <c r="V11" i="3"/>
  <c r="AM10" i="3"/>
  <c r="AJ10" i="3"/>
  <c r="AN10" i="3"/>
  <c r="AA10" i="3"/>
  <c r="AK10" i="3"/>
  <c r="AI10" i="3"/>
  <c r="AG10" i="3"/>
  <c r="AE10" i="3"/>
  <c r="Y10" i="3"/>
  <c r="X10" i="3"/>
  <c r="W10" i="3"/>
  <c r="V10" i="3"/>
  <c r="AM9" i="3"/>
  <c r="AJ9" i="3"/>
  <c r="AN9" i="3"/>
  <c r="AA9" i="3"/>
  <c r="AK9" i="3"/>
  <c r="AI9" i="3"/>
  <c r="AG9" i="3"/>
  <c r="AE9" i="3"/>
  <c r="Y9" i="3"/>
  <c r="X9" i="3"/>
  <c r="W9" i="3"/>
  <c r="V9" i="3"/>
  <c r="AM8" i="3"/>
  <c r="AJ8" i="3"/>
  <c r="AN8" i="3"/>
  <c r="AA8" i="3"/>
  <c r="AK8" i="3"/>
  <c r="AI8" i="3"/>
  <c r="AG8" i="3"/>
  <c r="AE8" i="3"/>
  <c r="Y8" i="3"/>
  <c r="X8" i="3"/>
  <c r="W8" i="3"/>
  <c r="V8" i="3"/>
  <c r="AM7" i="3"/>
  <c r="AJ7" i="3"/>
  <c r="AN7" i="3"/>
  <c r="AA7" i="3"/>
  <c r="AK7" i="3"/>
  <c r="AI7" i="3"/>
  <c r="AG7" i="3"/>
  <c r="AE7" i="3"/>
  <c r="Y7" i="3"/>
  <c r="X7" i="3"/>
  <c r="W7" i="3"/>
  <c r="V7" i="3"/>
  <c r="AM6" i="3"/>
  <c r="AJ6" i="3"/>
  <c r="AN6" i="3"/>
  <c r="AA6" i="3"/>
  <c r="AK6" i="3"/>
  <c r="AI6" i="3"/>
  <c r="AG6" i="3"/>
  <c r="AE6" i="3"/>
  <c r="Y6" i="3"/>
  <c r="X6" i="3"/>
  <c r="W6" i="3"/>
  <c r="V6" i="3"/>
  <c r="AM5" i="3"/>
  <c r="AJ5" i="3"/>
  <c r="AN5" i="3"/>
  <c r="AA5" i="3"/>
  <c r="AK5" i="3"/>
  <c r="AI5" i="3"/>
  <c r="AG5" i="3"/>
  <c r="AE5" i="3"/>
  <c r="Y5" i="3"/>
  <c r="X5" i="3"/>
  <c r="W5" i="3"/>
  <c r="V5" i="3"/>
  <c r="AM4" i="3"/>
  <c r="AJ4" i="3"/>
  <c r="AN4" i="3"/>
  <c r="AA4" i="3"/>
  <c r="AK4" i="3"/>
  <c r="AI4" i="3"/>
  <c r="AG4" i="3"/>
  <c r="AE4" i="3"/>
  <c r="Y4" i="3"/>
  <c r="R4" i="3"/>
  <c r="X4" i="3"/>
  <c r="W4" i="3"/>
  <c r="V4" i="3"/>
  <c r="Z5" i="1"/>
  <c r="AB5" i="1"/>
  <c r="AM5" i="1"/>
  <c r="AJ5" i="1"/>
  <c r="AN5" i="1"/>
  <c r="Z6" i="1"/>
  <c r="AB6" i="1"/>
  <c r="AM6" i="1"/>
  <c r="AJ6" i="1"/>
  <c r="AN6" i="1"/>
  <c r="Z7" i="1"/>
  <c r="AB7" i="1"/>
  <c r="AM7" i="1"/>
  <c r="AJ7" i="1"/>
  <c r="AN7" i="1"/>
  <c r="Z8" i="1"/>
  <c r="AB8" i="1"/>
  <c r="AM8" i="1"/>
  <c r="AJ8" i="1"/>
  <c r="AN8" i="1"/>
  <c r="Z9" i="1"/>
  <c r="AB9" i="1"/>
  <c r="AM9" i="1"/>
  <c r="AJ9" i="1"/>
  <c r="AN9" i="1"/>
  <c r="Z10" i="1"/>
  <c r="AB10" i="1"/>
  <c r="AM10" i="1"/>
  <c r="AJ10" i="1"/>
  <c r="AN10" i="1"/>
  <c r="Z11" i="1"/>
  <c r="AB11" i="1"/>
  <c r="AM11" i="1"/>
  <c r="AJ11" i="1"/>
  <c r="AN11" i="1"/>
  <c r="Z12" i="1"/>
  <c r="AB12" i="1"/>
  <c r="AM12" i="1"/>
  <c r="AJ12" i="1"/>
  <c r="AN12" i="1"/>
  <c r="Z13" i="1"/>
  <c r="AB13" i="1"/>
  <c r="AM13" i="1"/>
  <c r="AJ13" i="1"/>
  <c r="AN13" i="1"/>
  <c r="Z14" i="1"/>
  <c r="AB14" i="1"/>
  <c r="AM14" i="1"/>
  <c r="AJ14" i="1"/>
  <c r="AN14" i="1"/>
  <c r="Z15" i="1"/>
  <c r="AB15" i="1"/>
  <c r="AM15" i="1"/>
  <c r="AJ15" i="1"/>
  <c r="AN15" i="1"/>
  <c r="Z16" i="1"/>
  <c r="AB16" i="1"/>
  <c r="AM16" i="1"/>
  <c r="AJ16" i="1"/>
  <c r="AN16" i="1"/>
  <c r="Z17" i="1"/>
  <c r="AB17" i="1"/>
  <c r="AM17" i="1"/>
  <c r="AJ17" i="1"/>
  <c r="AN17" i="1"/>
  <c r="Z18" i="1"/>
  <c r="AB18" i="1"/>
  <c r="AM18" i="1"/>
  <c r="AJ18" i="1"/>
  <c r="AN18" i="1"/>
  <c r="Z19" i="1"/>
  <c r="AB19" i="1"/>
  <c r="AM19" i="1"/>
  <c r="AJ19" i="1"/>
  <c r="AN19" i="1"/>
  <c r="Z20" i="1"/>
  <c r="AB20" i="1"/>
  <c r="AM20" i="1"/>
  <c r="AJ20" i="1"/>
  <c r="AN20" i="1"/>
  <c r="Z21" i="1"/>
  <c r="AB21" i="1"/>
  <c r="AM21" i="1"/>
  <c r="AJ21" i="1"/>
  <c r="AN21" i="1"/>
  <c r="Z22" i="1"/>
  <c r="AB22" i="1"/>
  <c r="AM22" i="1"/>
  <c r="AJ22" i="1"/>
  <c r="AN22" i="1"/>
  <c r="Z23" i="1"/>
  <c r="AB23" i="1"/>
  <c r="AM23" i="1"/>
  <c r="AJ23" i="1"/>
  <c r="AN23" i="1"/>
  <c r="Z24" i="1"/>
  <c r="AB24" i="1"/>
  <c r="AM24" i="1"/>
  <c r="AJ24" i="1"/>
  <c r="AN24" i="1"/>
  <c r="Z25" i="1"/>
  <c r="AB25" i="1"/>
  <c r="AM25" i="1"/>
  <c r="AJ25" i="1"/>
  <c r="AN25" i="1"/>
  <c r="Z26" i="1"/>
  <c r="AB26" i="1"/>
  <c r="AM26" i="1"/>
  <c r="AJ26" i="1"/>
  <c r="AN26" i="1"/>
  <c r="Z27" i="1"/>
  <c r="AB27" i="1"/>
  <c r="AM27" i="1"/>
  <c r="AJ27" i="1"/>
  <c r="AN27" i="1"/>
  <c r="Z28" i="1"/>
  <c r="AB28" i="1"/>
  <c r="AM28" i="1"/>
  <c r="AJ28" i="1"/>
  <c r="AN28" i="1"/>
  <c r="Z29" i="1"/>
  <c r="AB29" i="1"/>
  <c r="AM29" i="1"/>
  <c r="AJ29" i="1"/>
  <c r="AN29" i="1"/>
  <c r="Z30" i="1"/>
  <c r="AB30" i="1"/>
  <c r="AM30" i="1"/>
  <c r="AJ30" i="1"/>
  <c r="AN30" i="1"/>
  <c r="Z31" i="1"/>
  <c r="AB31" i="1"/>
  <c r="AM31" i="1"/>
  <c r="AJ31" i="1"/>
  <c r="AN31" i="1"/>
  <c r="Z32" i="1"/>
  <c r="AB32" i="1"/>
  <c r="AM32" i="1"/>
  <c r="AJ32" i="1"/>
  <c r="AN32" i="1"/>
  <c r="Z33" i="1"/>
  <c r="AB33" i="1"/>
  <c r="AM33" i="1"/>
  <c r="AJ33" i="1"/>
  <c r="AN33" i="1"/>
  <c r="Z34" i="1"/>
  <c r="AB34" i="1"/>
  <c r="AM34" i="1"/>
  <c r="AJ34" i="1"/>
  <c r="AN34" i="1"/>
  <c r="Z35" i="1"/>
  <c r="AB35" i="1"/>
  <c r="AM35" i="1"/>
  <c r="AJ35" i="1"/>
  <c r="AN35" i="1"/>
  <c r="Z36" i="1"/>
  <c r="AB36" i="1"/>
  <c r="AM36" i="1"/>
  <c r="AJ36" i="1"/>
  <c r="AN36" i="1"/>
  <c r="Z37" i="1"/>
  <c r="AB37" i="1"/>
  <c r="AM37" i="1"/>
  <c r="AJ37" i="1"/>
  <c r="AN37" i="1"/>
  <c r="Z4" i="1"/>
  <c r="AB4" i="1"/>
  <c r="AM4" i="1"/>
  <c r="AJ4" i="1"/>
  <c r="AN4" i="1"/>
  <c r="AA5" i="1"/>
  <c r="AK5" i="1"/>
  <c r="AA6" i="1"/>
  <c r="AK6" i="1"/>
  <c r="AA7" i="1"/>
  <c r="AK7" i="1"/>
  <c r="AA8" i="1"/>
  <c r="AK8" i="1"/>
  <c r="AA9" i="1"/>
  <c r="AK9" i="1"/>
  <c r="AA10" i="1"/>
  <c r="AK10" i="1"/>
  <c r="AA11" i="1"/>
  <c r="AK11" i="1"/>
  <c r="AA12" i="1"/>
  <c r="AK12" i="1"/>
  <c r="AA13" i="1"/>
  <c r="AK13" i="1"/>
  <c r="AA14" i="1"/>
  <c r="AK14" i="1"/>
  <c r="AA15" i="1"/>
  <c r="AK15" i="1"/>
  <c r="AA16" i="1"/>
  <c r="AK16" i="1"/>
  <c r="AA17" i="1"/>
  <c r="AK17" i="1"/>
  <c r="AA18" i="1"/>
  <c r="AK18" i="1"/>
  <c r="AA19" i="1"/>
  <c r="AK19" i="1"/>
  <c r="AA20" i="1"/>
  <c r="AK20" i="1"/>
  <c r="AA21" i="1"/>
  <c r="AK21" i="1"/>
  <c r="AA22" i="1"/>
  <c r="AK22" i="1"/>
  <c r="AA23" i="1"/>
  <c r="AK23" i="1"/>
  <c r="AA24" i="1"/>
  <c r="AK24" i="1"/>
  <c r="AA25" i="1"/>
  <c r="AK25" i="1"/>
  <c r="AA26" i="1"/>
  <c r="AK26" i="1"/>
  <c r="AA27" i="1"/>
  <c r="AK27" i="1"/>
  <c r="AA28" i="1"/>
  <c r="AK28" i="1"/>
  <c r="AA29" i="1"/>
  <c r="AK29" i="1"/>
  <c r="AA30" i="1"/>
  <c r="AK30" i="1"/>
  <c r="AA31" i="1"/>
  <c r="AK31" i="1"/>
  <c r="AA32" i="1"/>
  <c r="AK32" i="1"/>
  <c r="AA33" i="1"/>
  <c r="AK33" i="1"/>
  <c r="AA34" i="1"/>
  <c r="AK34" i="1"/>
  <c r="AA35" i="1"/>
  <c r="AK35" i="1"/>
  <c r="AA36" i="1"/>
  <c r="AK36" i="1"/>
  <c r="AA37" i="1"/>
  <c r="AK37" i="1"/>
  <c r="AA4" i="1"/>
  <c r="AK4" i="1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R4" i="1"/>
  <c r="X4" i="1"/>
  <c r="AG4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4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4" i="1"/>
</calcChain>
</file>

<file path=xl/sharedStrings.xml><?xml version="1.0" encoding="utf-8"?>
<sst xmlns="http://schemas.openxmlformats.org/spreadsheetml/2006/main" count="548" uniqueCount="64">
  <si>
    <t>Shear Rate</t>
  </si>
  <si>
    <t>Shear Stress</t>
  </si>
  <si>
    <t>Viscosity</t>
  </si>
  <si>
    <t>Temperature</t>
  </si>
  <si>
    <t>Torque</t>
  </si>
  <si>
    <t>Status</t>
  </si>
  <si>
    <t>[1/s]</t>
  </si>
  <si>
    <t>[Pa]</t>
  </si>
  <si>
    <t>[Pa·s]</t>
  </si>
  <si>
    <t>[°C]</t>
  </si>
  <si>
    <t>[µN·m]</t>
  </si>
  <si>
    <t>Dy_auto</t>
  </si>
  <si>
    <t>Rheology</t>
  </si>
  <si>
    <t>Width [um]</t>
  </si>
  <si>
    <t>Qd [ul/min]</t>
  </si>
  <si>
    <t>Qc [ul/min]</t>
  </si>
  <si>
    <t>L [pixels]</t>
  </si>
  <si>
    <t>H [pixels]</t>
  </si>
  <si>
    <t>L[um]</t>
  </si>
  <si>
    <t>Etching Depth [um]</t>
  </si>
  <si>
    <t>L_SD [pixels]</t>
  </si>
  <si>
    <t>H_SD [pixels]</t>
  </si>
  <si>
    <t>L_SD[um]</t>
  </si>
  <si>
    <t>H [um]</t>
  </si>
  <si>
    <t>H_SD [um]</t>
  </si>
  <si>
    <t>L/Width</t>
  </si>
  <si>
    <t>L/width_SD</t>
  </si>
  <si>
    <t>Frequency [Hz]</t>
  </si>
  <si>
    <t>Cross Model Viscosity</t>
  </si>
  <si>
    <t>Eta_d [Pa*s]</t>
  </si>
  <si>
    <t>Eta_c [Pa*s]</t>
  </si>
  <si>
    <t>ShearRate_d [1/s]</t>
  </si>
  <si>
    <t>U_d [mm/s]</t>
  </si>
  <si>
    <t>U_c [mm/s]</t>
  </si>
  <si>
    <t>Alpha=eta_d\eta_c</t>
  </si>
  <si>
    <t>Interfacial Tension [mN*m]</t>
  </si>
  <si>
    <t>Ca_c</t>
  </si>
  <si>
    <t>Ca_d</t>
  </si>
  <si>
    <t>H/Width</t>
  </si>
  <si>
    <t>H/Width_SD</t>
  </si>
  <si>
    <t>q=Qd/Qc</t>
  </si>
  <si>
    <t>Re_d</t>
  </si>
  <si>
    <t>Re_c</t>
  </si>
  <si>
    <t>Wi_d</t>
  </si>
  <si>
    <t>El_d</t>
  </si>
  <si>
    <t>Lambda_s</t>
  </si>
  <si>
    <t>\eta=0.0027/(1+(0.00033*x)^0.395)</t>
  </si>
  <si>
    <t>\eta=0.0067/(1+(0.0019*x)^0.57)</t>
  </si>
  <si>
    <t>ShearRate_1/s</t>
  </si>
  <si>
    <t>Shear_Stress_Pa</t>
  </si>
  <si>
    <t>Viscosity_Pas</t>
  </si>
  <si>
    <t>Temperature_C</t>
  </si>
  <si>
    <t>Torque_uNm</t>
  </si>
  <si>
    <t>\eta=0.043/(1+(0.0115*x)^0.64)</t>
  </si>
  <si>
    <t>\eta=0.45/(1+(0.07*x)^0.71)</t>
  </si>
  <si>
    <t>\eta=2.23/(1+(0.216*x)^0.72)</t>
  </si>
  <si>
    <t>\eta=15/(1+(0.9*x)^0.67)</t>
  </si>
  <si>
    <t>Ca^-0.6*q^0.57*Wid^0.45</t>
  </si>
  <si>
    <t>Ca^-0.6*q^0.57}</t>
  </si>
  <si>
    <t>(q*Wid/Ca_c)^0.6</t>
  </si>
  <si>
    <t>(q/Ca_c)^0.6*Wi_d^0.45</t>
  </si>
  <si>
    <t>q/Ca_c</t>
  </si>
  <si>
    <t>\eta=0.00393225/(1 + (0.00112641*x)^0.382571)</t>
  </si>
  <si>
    <t>\eta=0.125529/(1 + (0.0263514*x)^0.696827)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</si>
</sst>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quotePrefix="1"/>
    <xf numFmtId="0" fontId="0" fillId="2" borderId="0" xfId="0" applyFill="1"/>
    <xf numFmtId="0" fontId="0" fillId="3" borderId="0" xfId="0" applyFill="1"/>
    <xf numFmtId="0" fontId="0" fillId="4" borderId="0" xfId="0" applyFill="1"/>
    <xf numFmtId="11" fontId="0" fillId="0" borderId="0" xfId="0" applyNumberFormat="1"/>
    <xf numFmtId="0" fontId="0" fillId="0" borderId="0" xfId="0" applyAlignment="1">
      <alignment vertical="center"/>
    </xf>
    <xf numFmtId="0" fontId="0" fillId="5" borderId="0" xfId="0" applyFill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DE09B-2A5B-DF4B-8E02-7A39F85DBFF8}">
  <dimension ref="B2:AQ42"/>
  <sheetViews>
    <sheetView topLeftCell="T1" workbookViewId="0">
      <selection activeCell="AJ29" sqref="AJ29"/>
    </sheetView>
  </sheetViews>
  <sheetFormatPr baseColWidth="10" defaultRowHeight="16" x14ac:dyDescent="0.2"/>
  <cols>
    <col min="2" max="2" width="26.33203125" customWidth="1"/>
    <col min="9" max="9" width="16.5" bestFit="1" customWidth="1"/>
    <col min="16" max="16" width="11.6640625" bestFit="1" customWidth="1"/>
    <col min="17" max="17" width="13.1640625" bestFit="1" customWidth="1"/>
    <col min="25" max="25" width="11.1640625" bestFit="1" customWidth="1"/>
    <col min="28" max="28" width="16.33203125" customWidth="1"/>
    <col min="31" max="31" width="19.33203125" customWidth="1"/>
    <col min="32" max="32" width="23" bestFit="1" customWidth="1"/>
    <col min="41" max="41" width="22.6640625" bestFit="1" customWidth="1"/>
    <col min="42" max="42" width="14.6640625" bestFit="1" customWidth="1"/>
  </cols>
  <sheetData>
    <row r="2" spans="2:43" x14ac:dyDescent="0.2">
      <c r="B2" s="8" t="s">
        <v>12</v>
      </c>
      <c r="C2" s="8"/>
      <c r="D2" s="8"/>
      <c r="E2" s="8"/>
      <c r="F2" s="8"/>
      <c r="G2" s="8"/>
    </row>
    <row r="3" spans="2:43" x14ac:dyDescent="0.2"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I3" t="s">
        <v>19</v>
      </c>
      <c r="J3" t="s">
        <v>13</v>
      </c>
      <c r="K3" t="s">
        <v>14</v>
      </c>
      <c r="L3" t="s">
        <v>15</v>
      </c>
      <c r="M3" t="s">
        <v>16</v>
      </c>
      <c r="N3" t="s">
        <v>20</v>
      </c>
      <c r="O3" t="s">
        <v>17</v>
      </c>
      <c r="P3" t="s">
        <v>21</v>
      </c>
      <c r="Q3" t="s">
        <v>27</v>
      </c>
      <c r="R3" t="s">
        <v>18</v>
      </c>
      <c r="S3" t="s">
        <v>22</v>
      </c>
      <c r="T3" t="s">
        <v>23</v>
      </c>
      <c r="U3" t="s">
        <v>24</v>
      </c>
      <c r="V3" s="4" t="s">
        <v>25</v>
      </c>
      <c r="W3" s="4" t="s">
        <v>26</v>
      </c>
      <c r="X3" s="4" t="s">
        <v>38</v>
      </c>
      <c r="Y3" s="4" t="s">
        <v>39</v>
      </c>
      <c r="Z3" t="s">
        <v>32</v>
      </c>
      <c r="AA3" t="s">
        <v>33</v>
      </c>
      <c r="AB3" t="s">
        <v>31</v>
      </c>
      <c r="AC3" t="s">
        <v>29</v>
      </c>
      <c r="AD3" t="s">
        <v>30</v>
      </c>
      <c r="AE3" s="4" t="s">
        <v>34</v>
      </c>
      <c r="AF3" t="s">
        <v>35</v>
      </c>
      <c r="AG3" s="4" t="s">
        <v>37</v>
      </c>
      <c r="AH3" s="4" t="s">
        <v>36</v>
      </c>
      <c r="AI3" s="4" t="s">
        <v>40</v>
      </c>
      <c r="AJ3" s="4" t="s">
        <v>41</v>
      </c>
      <c r="AK3" s="4" t="s">
        <v>42</v>
      </c>
      <c r="AL3" t="s">
        <v>45</v>
      </c>
      <c r="AM3" s="4" t="s">
        <v>43</v>
      </c>
      <c r="AN3" s="4" t="s">
        <v>44</v>
      </c>
      <c r="AO3" s="4" t="s">
        <v>57</v>
      </c>
      <c r="AP3" s="4" t="s">
        <v>58</v>
      </c>
      <c r="AQ3" s="4" t="s">
        <v>61</v>
      </c>
    </row>
    <row r="4" spans="2:43" x14ac:dyDescent="0.2">
      <c r="I4">
        <v>100</v>
      </c>
      <c r="J4">
        <v>105</v>
      </c>
      <c r="K4">
        <v>10</v>
      </c>
      <c r="L4">
        <v>100</v>
      </c>
      <c r="M4" s="6"/>
      <c r="N4" s="6"/>
      <c r="O4" s="6"/>
      <c r="P4" s="6"/>
      <c r="Q4" s="6"/>
      <c r="R4">
        <f>M4/0.2567</f>
        <v>0</v>
      </c>
      <c r="S4">
        <f>N4/0.2567</f>
        <v>0</v>
      </c>
      <c r="T4">
        <f t="shared" ref="T4:U4" si="0">O4/0.2567</f>
        <v>0</v>
      </c>
      <c r="U4">
        <f t="shared" si="0"/>
        <v>0</v>
      </c>
      <c r="V4">
        <f>R4/$J$4</f>
        <v>0</v>
      </c>
      <c r="W4">
        <f>S4/$J$4</f>
        <v>0</v>
      </c>
      <c r="X4">
        <f>T4/$J$4</f>
        <v>0</v>
      </c>
      <c r="Y4">
        <f>U4/$J$4</f>
        <v>0</v>
      </c>
      <c r="Z4">
        <f>K4/($I$4/1000*$J$4/1000)/60</f>
        <v>15.873015873015872</v>
      </c>
      <c r="AA4">
        <f>L4/($I$4/1000*$J$4/1000)/60</f>
        <v>158.73015873015871</v>
      </c>
      <c r="AB4">
        <f>Z4/($I$4/1000)</f>
        <v>158.73015873015871</v>
      </c>
      <c r="AC4">
        <v>1E-3</v>
      </c>
      <c r="AD4">
        <v>0.28999999999999998</v>
      </c>
      <c r="AE4">
        <f>AC4/$AD$4</f>
        <v>3.4482758620689659E-3</v>
      </c>
      <c r="AF4">
        <v>3.63</v>
      </c>
      <c r="AG4">
        <f>AC4*(Z4/1000)/($AF$4/1000)</f>
        <v>4.3727316454589184E-3</v>
      </c>
      <c r="AH4">
        <f>$AD$4*(AA4/1000)/($AF$4/1000)</f>
        <v>12.68092177183086</v>
      </c>
      <c r="AI4">
        <f>K4/L4</f>
        <v>0.1</v>
      </c>
      <c r="AJ4">
        <f>1000*(Z4/1000)*($I$4/10^6)/AC4</f>
        <v>1.5873015873015872</v>
      </c>
      <c r="AK4">
        <f>1000*(AA4/1000)*($I$4/10^6)/$AD$4</f>
        <v>5.4734537493158181E-2</v>
      </c>
      <c r="AL4">
        <v>0</v>
      </c>
      <c r="AM4">
        <f>$AL$4*AB4</f>
        <v>0</v>
      </c>
      <c r="AN4">
        <f>AM4/AJ4</f>
        <v>0</v>
      </c>
      <c r="AO4">
        <f>AG4^(-0.6)*AI4^0.57*AM4^0.45</f>
        <v>0</v>
      </c>
      <c r="AP4">
        <f>AH4^(-0.6)*AI4^0.57</f>
        <v>5.8628597599815827E-2</v>
      </c>
      <c r="AQ4">
        <f>AI4/AH4</f>
        <v>7.8858620689655195E-3</v>
      </c>
    </row>
    <row r="5" spans="2:43" x14ac:dyDescent="0.2">
      <c r="B5" t="s">
        <v>6</v>
      </c>
      <c r="C5" t="s">
        <v>7</v>
      </c>
      <c r="D5" t="s">
        <v>8</v>
      </c>
      <c r="E5" t="s">
        <v>9</v>
      </c>
      <c r="F5" t="s">
        <v>10</v>
      </c>
      <c r="K5">
        <v>10</v>
      </c>
      <c r="L5">
        <v>10</v>
      </c>
      <c r="M5" s="6"/>
      <c r="N5" s="6"/>
      <c r="O5" s="6"/>
      <c r="P5" s="6"/>
      <c r="Q5" s="6"/>
      <c r="R5">
        <f t="shared" ref="R5:R36" si="1">M5/0.2567</f>
        <v>0</v>
      </c>
      <c r="S5">
        <f t="shared" ref="S5:S42" si="2">N5/0.2567</f>
        <v>0</v>
      </c>
      <c r="T5">
        <f t="shared" ref="T5:T42" si="3">O5/0.2567</f>
        <v>0</v>
      </c>
      <c r="U5">
        <f t="shared" ref="U5:U42" si="4">P5/0.2567</f>
        <v>0</v>
      </c>
      <c r="V5">
        <f t="shared" ref="V5:Y36" si="5">R5/$J$4</f>
        <v>0</v>
      </c>
      <c r="W5">
        <f t="shared" si="5"/>
        <v>0</v>
      </c>
      <c r="X5">
        <f t="shared" si="5"/>
        <v>0</v>
      </c>
      <c r="Y5">
        <f t="shared" si="5"/>
        <v>0</v>
      </c>
      <c r="Z5">
        <f t="shared" ref="Z5:Z36" si="6">K5/($I$4/1000*$J$4/1000)/60</f>
        <v>15.873015873015872</v>
      </c>
      <c r="AA5">
        <f t="shared" ref="AA5:AA36" si="7">L5/($I$4/1000*$J$4/1000)/60</f>
        <v>15.873015873015872</v>
      </c>
      <c r="AB5">
        <f t="shared" ref="AB5:AB36" si="8">Z5/($I$4/1000)</f>
        <v>158.73015873015871</v>
      </c>
      <c r="AC5">
        <v>1E-3</v>
      </c>
      <c r="AE5">
        <f t="shared" ref="AE5:AE42" si="9">AC5/$AD$4</f>
        <v>3.4482758620689659E-3</v>
      </c>
      <c r="AG5">
        <f t="shared" ref="AG5:AG36" si="10">AC5*(Z5/1000)/($AF$4/1000)</f>
        <v>4.3727316454589184E-3</v>
      </c>
      <c r="AH5">
        <f t="shared" ref="AH5:AH42" si="11">$AD$4*(AA5/1000)/($AF$4/1000)</f>
        <v>1.2680921771830862</v>
      </c>
      <c r="AI5">
        <f t="shared" ref="AI5:AI36" si="12">K5/L5</f>
        <v>1</v>
      </c>
      <c r="AJ5">
        <f t="shared" ref="AJ5:AJ36" si="13">1000*(Z5/1000)*($I$4/10^6)/AC5</f>
        <v>1.5873015873015872</v>
      </c>
      <c r="AK5">
        <f t="shared" ref="AK5:AK36" si="14">1000*(AA5/1000)*($I$4/10^6)/$AD$4</f>
        <v>5.4734537493158182E-3</v>
      </c>
      <c r="AM5">
        <f t="shared" ref="AM5:AM36" si="15">$AL$4*AB5</f>
        <v>0</v>
      </c>
      <c r="AN5">
        <f t="shared" ref="AN5:AN36" si="16">AM5/AJ5</f>
        <v>0</v>
      </c>
      <c r="AO5">
        <f t="shared" ref="AO5:AO42" si="17">AG5^(-0.6)*AI5^0.57*AM5^0.45</f>
        <v>0</v>
      </c>
      <c r="AP5">
        <f t="shared" ref="AP5:AP42" si="18">AH5^(-0.6)*AI5^0.57</f>
        <v>0.86718050496425969</v>
      </c>
      <c r="AQ5">
        <f t="shared" ref="AQ5:AQ42" si="19">AI5/AH5</f>
        <v>0.78858620689655179</v>
      </c>
    </row>
    <row r="6" spans="2:43" x14ac:dyDescent="0.2">
      <c r="B6" s="5"/>
      <c r="K6">
        <v>10</v>
      </c>
      <c r="L6">
        <v>20</v>
      </c>
      <c r="M6" s="6"/>
      <c r="N6" s="6"/>
      <c r="O6" s="6"/>
      <c r="P6" s="6"/>
      <c r="Q6" s="6"/>
      <c r="R6">
        <f t="shared" si="1"/>
        <v>0</v>
      </c>
      <c r="S6">
        <f t="shared" si="2"/>
        <v>0</v>
      </c>
      <c r="T6">
        <f t="shared" si="3"/>
        <v>0</v>
      </c>
      <c r="U6">
        <f t="shared" si="4"/>
        <v>0</v>
      </c>
      <c r="V6">
        <f t="shared" si="5"/>
        <v>0</v>
      </c>
      <c r="W6">
        <f t="shared" si="5"/>
        <v>0</v>
      </c>
      <c r="X6">
        <f t="shared" si="5"/>
        <v>0</v>
      </c>
      <c r="Y6">
        <f t="shared" si="5"/>
        <v>0</v>
      </c>
      <c r="Z6">
        <f t="shared" si="6"/>
        <v>15.873015873015872</v>
      </c>
      <c r="AA6">
        <f t="shared" si="7"/>
        <v>31.746031746031743</v>
      </c>
      <c r="AB6">
        <f t="shared" si="8"/>
        <v>158.73015873015871</v>
      </c>
      <c r="AC6">
        <v>1E-3</v>
      </c>
      <c r="AE6">
        <f t="shared" si="9"/>
        <v>3.4482758620689659E-3</v>
      </c>
      <c r="AG6">
        <f t="shared" si="10"/>
        <v>4.3727316454589184E-3</v>
      </c>
      <c r="AH6">
        <f t="shared" si="11"/>
        <v>2.5361843543661724</v>
      </c>
      <c r="AI6">
        <f t="shared" si="12"/>
        <v>0.5</v>
      </c>
      <c r="AJ6">
        <f t="shared" si="13"/>
        <v>1.5873015873015872</v>
      </c>
      <c r="AK6">
        <f t="shared" si="14"/>
        <v>1.0946907498631636E-2</v>
      </c>
      <c r="AM6">
        <f t="shared" si="15"/>
        <v>0</v>
      </c>
      <c r="AN6">
        <f t="shared" si="16"/>
        <v>0</v>
      </c>
      <c r="AO6">
        <f t="shared" si="17"/>
        <v>0</v>
      </c>
      <c r="AP6">
        <f t="shared" si="18"/>
        <v>0.38539352254390641</v>
      </c>
      <c r="AQ6">
        <f t="shared" si="19"/>
        <v>0.19714655172413795</v>
      </c>
    </row>
    <row r="7" spans="2:43" x14ac:dyDescent="0.2">
      <c r="K7">
        <v>10</v>
      </c>
      <c r="L7">
        <v>30</v>
      </c>
      <c r="M7" s="6"/>
      <c r="N7" s="6"/>
      <c r="O7" s="6"/>
      <c r="P7" s="6"/>
      <c r="Q7" s="6"/>
      <c r="R7">
        <f t="shared" si="1"/>
        <v>0</v>
      </c>
      <c r="S7">
        <f t="shared" si="2"/>
        <v>0</v>
      </c>
      <c r="T7">
        <f t="shared" si="3"/>
        <v>0</v>
      </c>
      <c r="U7">
        <f t="shared" si="4"/>
        <v>0</v>
      </c>
      <c r="V7">
        <f t="shared" si="5"/>
        <v>0</v>
      </c>
      <c r="W7">
        <f t="shared" si="5"/>
        <v>0</v>
      </c>
      <c r="X7">
        <f t="shared" si="5"/>
        <v>0</v>
      </c>
      <c r="Y7">
        <f t="shared" si="5"/>
        <v>0</v>
      </c>
      <c r="Z7">
        <f t="shared" si="6"/>
        <v>15.873015873015872</v>
      </c>
      <c r="AA7">
        <f t="shared" si="7"/>
        <v>47.619047619047613</v>
      </c>
      <c r="AB7">
        <f t="shared" si="8"/>
        <v>158.73015873015871</v>
      </c>
      <c r="AC7">
        <v>1E-3</v>
      </c>
      <c r="AE7">
        <f t="shared" si="9"/>
        <v>3.4482758620689659E-3</v>
      </c>
      <c r="AG7">
        <f t="shared" si="10"/>
        <v>4.3727316454589184E-3</v>
      </c>
      <c r="AH7">
        <f t="shared" si="11"/>
        <v>3.8042765315492586</v>
      </c>
      <c r="AI7">
        <f t="shared" si="12"/>
        <v>0.33333333333333331</v>
      </c>
      <c r="AJ7">
        <f t="shared" si="13"/>
        <v>1.5873015873015872</v>
      </c>
      <c r="AK7">
        <f t="shared" si="14"/>
        <v>1.6420361247947456E-2</v>
      </c>
      <c r="AM7">
        <f t="shared" si="15"/>
        <v>0</v>
      </c>
      <c r="AN7">
        <f t="shared" si="16"/>
        <v>0</v>
      </c>
      <c r="AO7">
        <f t="shared" si="17"/>
        <v>0</v>
      </c>
      <c r="AP7">
        <f t="shared" si="18"/>
        <v>0.23981571452727382</v>
      </c>
      <c r="AQ7">
        <f t="shared" si="19"/>
        <v>8.7620689655172418E-2</v>
      </c>
    </row>
    <row r="8" spans="2:43" x14ac:dyDescent="0.2">
      <c r="K8">
        <v>10</v>
      </c>
      <c r="L8">
        <v>40</v>
      </c>
      <c r="M8" s="6"/>
      <c r="N8" s="6"/>
      <c r="O8" s="6"/>
      <c r="P8" s="6"/>
      <c r="Q8" s="6"/>
      <c r="R8">
        <f t="shared" si="1"/>
        <v>0</v>
      </c>
      <c r="S8">
        <f t="shared" si="2"/>
        <v>0</v>
      </c>
      <c r="T8">
        <f t="shared" si="3"/>
        <v>0</v>
      </c>
      <c r="U8">
        <f t="shared" si="4"/>
        <v>0</v>
      </c>
      <c r="V8">
        <f t="shared" si="5"/>
        <v>0</v>
      </c>
      <c r="W8">
        <f t="shared" si="5"/>
        <v>0</v>
      </c>
      <c r="X8">
        <f t="shared" si="5"/>
        <v>0</v>
      </c>
      <c r="Y8">
        <f t="shared" si="5"/>
        <v>0</v>
      </c>
      <c r="Z8">
        <f t="shared" si="6"/>
        <v>15.873015873015872</v>
      </c>
      <c r="AA8">
        <f t="shared" si="7"/>
        <v>63.492063492063487</v>
      </c>
      <c r="AB8">
        <f t="shared" si="8"/>
        <v>158.73015873015871</v>
      </c>
      <c r="AC8">
        <v>1E-3</v>
      </c>
      <c r="AE8">
        <f t="shared" si="9"/>
        <v>3.4482758620689659E-3</v>
      </c>
      <c r="AG8">
        <f t="shared" si="10"/>
        <v>4.3727316454589184E-3</v>
      </c>
      <c r="AH8">
        <f t="shared" si="11"/>
        <v>5.0723687087323448</v>
      </c>
      <c r="AI8">
        <f t="shared" si="12"/>
        <v>0.25</v>
      </c>
      <c r="AJ8">
        <f t="shared" si="13"/>
        <v>1.5873015873015872</v>
      </c>
      <c r="AK8">
        <f t="shared" si="14"/>
        <v>2.1893814997263273E-2</v>
      </c>
      <c r="AM8">
        <f t="shared" si="15"/>
        <v>0</v>
      </c>
      <c r="AN8">
        <f t="shared" si="16"/>
        <v>0</v>
      </c>
      <c r="AO8">
        <f t="shared" si="17"/>
        <v>0</v>
      </c>
      <c r="AP8">
        <f t="shared" si="18"/>
        <v>0.1712771059410774</v>
      </c>
      <c r="AQ8">
        <f t="shared" si="19"/>
        <v>4.9286637931034487E-2</v>
      </c>
    </row>
    <row r="9" spans="2:43" x14ac:dyDescent="0.2">
      <c r="K9">
        <v>10</v>
      </c>
      <c r="L9">
        <v>50</v>
      </c>
      <c r="M9" s="6"/>
      <c r="N9" s="6"/>
      <c r="O9" s="6"/>
      <c r="P9" s="6"/>
      <c r="Q9" s="6"/>
      <c r="R9">
        <f t="shared" si="1"/>
        <v>0</v>
      </c>
      <c r="S9">
        <f t="shared" si="2"/>
        <v>0</v>
      </c>
      <c r="T9">
        <f t="shared" si="3"/>
        <v>0</v>
      </c>
      <c r="U9">
        <f t="shared" si="4"/>
        <v>0</v>
      </c>
      <c r="V9">
        <f t="shared" si="5"/>
        <v>0</v>
      </c>
      <c r="W9">
        <f t="shared" si="5"/>
        <v>0</v>
      </c>
      <c r="X9">
        <f t="shared" si="5"/>
        <v>0</v>
      </c>
      <c r="Y9">
        <f t="shared" si="5"/>
        <v>0</v>
      </c>
      <c r="Z9">
        <f t="shared" si="6"/>
        <v>15.873015873015872</v>
      </c>
      <c r="AA9">
        <f t="shared" si="7"/>
        <v>79.365079365079353</v>
      </c>
      <c r="AB9">
        <f t="shared" si="8"/>
        <v>158.73015873015871</v>
      </c>
      <c r="AC9">
        <v>1E-3</v>
      </c>
      <c r="AE9">
        <f t="shared" si="9"/>
        <v>3.4482758620689659E-3</v>
      </c>
      <c r="AG9">
        <f t="shared" si="10"/>
        <v>4.3727316454589184E-3</v>
      </c>
      <c r="AH9">
        <f t="shared" si="11"/>
        <v>6.3404608859154301</v>
      </c>
      <c r="AI9">
        <f t="shared" si="12"/>
        <v>0.2</v>
      </c>
      <c r="AJ9">
        <f t="shared" si="13"/>
        <v>1.5873015873015872</v>
      </c>
      <c r="AK9">
        <f t="shared" si="14"/>
        <v>2.736726874657909E-2</v>
      </c>
      <c r="AM9">
        <f t="shared" si="15"/>
        <v>0</v>
      </c>
      <c r="AN9">
        <f t="shared" si="16"/>
        <v>0</v>
      </c>
      <c r="AO9">
        <f t="shared" si="17"/>
        <v>0</v>
      </c>
      <c r="AP9">
        <f t="shared" si="18"/>
        <v>0.13192120235015747</v>
      </c>
      <c r="AQ9">
        <f t="shared" si="19"/>
        <v>3.1543448275862078E-2</v>
      </c>
    </row>
    <row r="10" spans="2:43" x14ac:dyDescent="0.2">
      <c r="K10">
        <v>10</v>
      </c>
      <c r="L10">
        <v>60</v>
      </c>
      <c r="M10" s="6"/>
      <c r="N10" s="6"/>
      <c r="O10" s="6"/>
      <c r="P10" s="6"/>
      <c r="Q10" s="6"/>
      <c r="R10">
        <f t="shared" si="1"/>
        <v>0</v>
      </c>
      <c r="S10">
        <f t="shared" si="2"/>
        <v>0</v>
      </c>
      <c r="T10">
        <f t="shared" si="3"/>
        <v>0</v>
      </c>
      <c r="U10">
        <f t="shared" si="4"/>
        <v>0</v>
      </c>
      <c r="V10">
        <f t="shared" si="5"/>
        <v>0</v>
      </c>
      <c r="W10">
        <f t="shared" si="5"/>
        <v>0</v>
      </c>
      <c r="X10">
        <f t="shared" si="5"/>
        <v>0</v>
      </c>
      <c r="Y10">
        <f t="shared" si="5"/>
        <v>0</v>
      </c>
      <c r="Z10">
        <f t="shared" si="6"/>
        <v>15.873015873015872</v>
      </c>
      <c r="AA10">
        <f t="shared" si="7"/>
        <v>95.238095238095227</v>
      </c>
      <c r="AB10">
        <f t="shared" si="8"/>
        <v>158.73015873015871</v>
      </c>
      <c r="AC10">
        <v>1E-3</v>
      </c>
      <c r="AE10">
        <f t="shared" si="9"/>
        <v>3.4482758620689659E-3</v>
      </c>
      <c r="AG10">
        <f t="shared" si="10"/>
        <v>4.3727316454589184E-3</v>
      </c>
      <c r="AH10">
        <f t="shared" si="11"/>
        <v>7.6085530630985172</v>
      </c>
      <c r="AI10">
        <f t="shared" si="12"/>
        <v>0.16666666666666666</v>
      </c>
      <c r="AJ10">
        <f t="shared" si="13"/>
        <v>1.5873015873015872</v>
      </c>
      <c r="AK10">
        <f t="shared" si="14"/>
        <v>3.2840722495894911E-2</v>
      </c>
      <c r="AM10">
        <f t="shared" si="15"/>
        <v>0</v>
      </c>
      <c r="AN10">
        <f t="shared" si="16"/>
        <v>0</v>
      </c>
      <c r="AO10">
        <f t="shared" si="17"/>
        <v>0</v>
      </c>
      <c r="AP10">
        <f t="shared" si="18"/>
        <v>0.10657922134314947</v>
      </c>
      <c r="AQ10">
        <f t="shared" si="19"/>
        <v>2.1905172413793104E-2</v>
      </c>
    </row>
    <row r="11" spans="2:43" x14ac:dyDescent="0.2">
      <c r="K11">
        <v>10</v>
      </c>
      <c r="L11">
        <v>70</v>
      </c>
      <c r="M11" s="6"/>
      <c r="N11" s="6"/>
      <c r="O11" s="6"/>
      <c r="P11" s="6"/>
      <c r="Q11" s="6"/>
      <c r="R11">
        <f t="shared" si="1"/>
        <v>0</v>
      </c>
      <c r="S11">
        <f t="shared" si="2"/>
        <v>0</v>
      </c>
      <c r="T11">
        <f t="shared" si="3"/>
        <v>0</v>
      </c>
      <c r="U11">
        <f t="shared" si="4"/>
        <v>0</v>
      </c>
      <c r="V11">
        <f t="shared" si="5"/>
        <v>0</v>
      </c>
      <c r="W11">
        <f t="shared" si="5"/>
        <v>0</v>
      </c>
      <c r="X11">
        <f t="shared" si="5"/>
        <v>0</v>
      </c>
      <c r="Y11">
        <f t="shared" si="5"/>
        <v>0</v>
      </c>
      <c r="Z11">
        <f t="shared" si="6"/>
        <v>15.873015873015872</v>
      </c>
      <c r="AA11">
        <f t="shared" si="7"/>
        <v>111.1111111111111</v>
      </c>
      <c r="AB11">
        <f t="shared" si="8"/>
        <v>158.73015873015871</v>
      </c>
      <c r="AC11">
        <v>1E-3</v>
      </c>
      <c r="AE11">
        <f t="shared" si="9"/>
        <v>3.4482758620689659E-3</v>
      </c>
      <c r="AG11">
        <f t="shared" si="10"/>
        <v>4.3727316454589184E-3</v>
      </c>
      <c r="AH11">
        <f t="shared" si="11"/>
        <v>8.8766452402816043</v>
      </c>
      <c r="AI11">
        <f t="shared" si="12"/>
        <v>0.14285714285714285</v>
      </c>
      <c r="AJ11">
        <f t="shared" si="13"/>
        <v>1.5873015873015872</v>
      </c>
      <c r="AK11">
        <f t="shared" si="14"/>
        <v>3.8314176245210725E-2</v>
      </c>
      <c r="AM11">
        <f t="shared" si="15"/>
        <v>0</v>
      </c>
      <c r="AN11">
        <f t="shared" si="16"/>
        <v>0</v>
      </c>
      <c r="AO11">
        <f t="shared" si="17"/>
        <v>0</v>
      </c>
      <c r="AP11">
        <f t="shared" si="18"/>
        <v>8.8990736104413964E-2</v>
      </c>
      <c r="AQ11">
        <f t="shared" si="19"/>
        <v>1.6093596059113299E-2</v>
      </c>
    </row>
    <row r="12" spans="2:43" x14ac:dyDescent="0.2">
      <c r="K12">
        <v>10</v>
      </c>
      <c r="L12">
        <v>80</v>
      </c>
      <c r="M12" s="6"/>
      <c r="N12" s="6"/>
      <c r="O12" s="6"/>
      <c r="P12" s="6"/>
      <c r="Q12" s="6"/>
      <c r="R12">
        <f t="shared" si="1"/>
        <v>0</v>
      </c>
      <c r="S12">
        <f t="shared" si="2"/>
        <v>0</v>
      </c>
      <c r="T12">
        <f t="shared" si="3"/>
        <v>0</v>
      </c>
      <c r="U12">
        <f t="shared" si="4"/>
        <v>0</v>
      </c>
      <c r="V12">
        <f t="shared" si="5"/>
        <v>0</v>
      </c>
      <c r="W12">
        <f t="shared" si="5"/>
        <v>0</v>
      </c>
      <c r="X12">
        <f t="shared" si="5"/>
        <v>0</v>
      </c>
      <c r="Y12">
        <f t="shared" si="5"/>
        <v>0</v>
      </c>
      <c r="Z12">
        <f t="shared" si="6"/>
        <v>15.873015873015872</v>
      </c>
      <c r="AA12">
        <f t="shared" si="7"/>
        <v>126.98412698412697</v>
      </c>
      <c r="AB12">
        <f t="shared" si="8"/>
        <v>158.73015873015871</v>
      </c>
      <c r="AC12">
        <v>1E-3</v>
      </c>
      <c r="AE12">
        <f t="shared" si="9"/>
        <v>3.4482758620689659E-3</v>
      </c>
      <c r="AG12">
        <f t="shared" si="10"/>
        <v>4.3727316454589184E-3</v>
      </c>
      <c r="AH12">
        <f t="shared" si="11"/>
        <v>10.14473741746469</v>
      </c>
      <c r="AI12">
        <f t="shared" si="12"/>
        <v>0.125</v>
      </c>
      <c r="AJ12">
        <f t="shared" si="13"/>
        <v>1.5873015873015872</v>
      </c>
      <c r="AK12">
        <f t="shared" si="14"/>
        <v>4.3787629994526546E-2</v>
      </c>
      <c r="AM12">
        <f t="shared" si="15"/>
        <v>0</v>
      </c>
      <c r="AN12">
        <f t="shared" si="16"/>
        <v>0</v>
      </c>
      <c r="AO12">
        <f t="shared" si="17"/>
        <v>0</v>
      </c>
      <c r="AP12">
        <f t="shared" si="18"/>
        <v>7.6119201033558972E-2</v>
      </c>
      <c r="AQ12">
        <f t="shared" si="19"/>
        <v>1.2321659482758622E-2</v>
      </c>
    </row>
    <row r="13" spans="2:43" x14ac:dyDescent="0.2">
      <c r="K13">
        <v>10</v>
      </c>
      <c r="L13">
        <v>90</v>
      </c>
      <c r="M13" s="6"/>
      <c r="N13" s="6"/>
      <c r="O13" s="6"/>
      <c r="P13" s="6"/>
      <c r="Q13" s="6"/>
      <c r="R13">
        <f t="shared" si="1"/>
        <v>0</v>
      </c>
      <c r="S13">
        <f t="shared" si="2"/>
        <v>0</v>
      </c>
      <c r="T13">
        <f t="shared" si="3"/>
        <v>0</v>
      </c>
      <c r="U13">
        <f t="shared" si="4"/>
        <v>0</v>
      </c>
      <c r="V13">
        <f t="shared" si="5"/>
        <v>0</v>
      </c>
      <c r="W13">
        <f t="shared" si="5"/>
        <v>0</v>
      </c>
      <c r="X13">
        <f t="shared" si="5"/>
        <v>0</v>
      </c>
      <c r="Y13">
        <f t="shared" si="5"/>
        <v>0</v>
      </c>
      <c r="Z13">
        <f t="shared" si="6"/>
        <v>15.873015873015872</v>
      </c>
      <c r="AA13">
        <f t="shared" si="7"/>
        <v>142.85714285714283</v>
      </c>
      <c r="AB13">
        <f t="shared" si="8"/>
        <v>158.73015873015871</v>
      </c>
      <c r="AC13">
        <v>1E-3</v>
      </c>
      <c r="AE13">
        <f t="shared" si="9"/>
        <v>3.4482758620689659E-3</v>
      </c>
      <c r="AG13">
        <f t="shared" si="10"/>
        <v>4.3727316454589184E-3</v>
      </c>
      <c r="AH13">
        <f t="shared" si="11"/>
        <v>11.412829594647773</v>
      </c>
      <c r="AI13">
        <f t="shared" si="12"/>
        <v>0.1111111111111111</v>
      </c>
      <c r="AJ13">
        <f t="shared" si="13"/>
        <v>1.5873015873015872</v>
      </c>
      <c r="AK13">
        <f t="shared" si="14"/>
        <v>4.926108374384236E-2</v>
      </c>
      <c r="AM13">
        <f t="shared" si="15"/>
        <v>0</v>
      </c>
      <c r="AN13">
        <f t="shared" si="16"/>
        <v>0</v>
      </c>
      <c r="AO13">
        <f t="shared" si="17"/>
        <v>0</v>
      </c>
      <c r="AP13">
        <f t="shared" si="18"/>
        <v>6.6320191246224139E-2</v>
      </c>
      <c r="AQ13">
        <f t="shared" si="19"/>
        <v>9.7356321839080478E-3</v>
      </c>
    </row>
    <row r="14" spans="2:43" x14ac:dyDescent="0.2">
      <c r="K14">
        <v>20</v>
      </c>
      <c r="L14">
        <v>100</v>
      </c>
      <c r="M14" s="6"/>
      <c r="N14" s="6"/>
      <c r="O14" s="6"/>
      <c r="P14" s="6"/>
      <c r="Q14" s="6"/>
      <c r="R14">
        <f t="shared" si="1"/>
        <v>0</v>
      </c>
      <c r="S14">
        <f t="shared" si="2"/>
        <v>0</v>
      </c>
      <c r="T14">
        <f t="shared" si="3"/>
        <v>0</v>
      </c>
      <c r="U14">
        <f t="shared" si="4"/>
        <v>0</v>
      </c>
      <c r="V14">
        <f t="shared" si="5"/>
        <v>0</v>
      </c>
      <c r="W14">
        <f t="shared" si="5"/>
        <v>0</v>
      </c>
      <c r="X14">
        <f t="shared" si="5"/>
        <v>0</v>
      </c>
      <c r="Y14">
        <f t="shared" si="5"/>
        <v>0</v>
      </c>
      <c r="Z14">
        <f t="shared" si="6"/>
        <v>31.746031746031743</v>
      </c>
      <c r="AA14">
        <f t="shared" si="7"/>
        <v>158.73015873015871</v>
      </c>
      <c r="AB14">
        <f t="shared" si="8"/>
        <v>317.46031746031741</v>
      </c>
      <c r="AC14">
        <v>1E-3</v>
      </c>
      <c r="AE14">
        <f t="shared" si="9"/>
        <v>3.4482758620689659E-3</v>
      </c>
      <c r="AG14">
        <f t="shared" si="10"/>
        <v>8.7454632909178369E-3</v>
      </c>
      <c r="AH14">
        <f t="shared" si="11"/>
        <v>12.68092177183086</v>
      </c>
      <c r="AI14">
        <f t="shared" si="12"/>
        <v>0.2</v>
      </c>
      <c r="AJ14">
        <f t="shared" si="13"/>
        <v>3.1746031746031744</v>
      </c>
      <c r="AK14">
        <f t="shared" si="14"/>
        <v>5.4734537493158181E-2</v>
      </c>
      <c r="AM14">
        <f t="shared" si="15"/>
        <v>0</v>
      </c>
      <c r="AN14">
        <f t="shared" si="16"/>
        <v>0</v>
      </c>
      <c r="AO14">
        <f t="shared" si="17"/>
        <v>0</v>
      </c>
      <c r="AP14">
        <f t="shared" si="18"/>
        <v>8.7035535049852286E-2</v>
      </c>
      <c r="AQ14">
        <f t="shared" si="19"/>
        <v>1.5771724137931039E-2</v>
      </c>
    </row>
    <row r="15" spans="2:43" x14ac:dyDescent="0.2">
      <c r="K15" s="2">
        <v>20</v>
      </c>
      <c r="L15">
        <v>20</v>
      </c>
      <c r="M15">
        <v>28.333300000000001</v>
      </c>
      <c r="N15">
        <v>1.36626</v>
      </c>
      <c r="O15">
        <v>28</v>
      </c>
      <c r="P15">
        <v>1.414118</v>
      </c>
      <c r="Q15">
        <f>128/(250/1000)</f>
        <v>512</v>
      </c>
      <c r="R15">
        <f t="shared" si="1"/>
        <v>110.37514608492405</v>
      </c>
      <c r="S15">
        <f t="shared" si="2"/>
        <v>5.3223996883521627</v>
      </c>
      <c r="T15">
        <f t="shared" si="3"/>
        <v>109.0767432800935</v>
      </c>
      <c r="U15">
        <f t="shared" si="4"/>
        <v>5.5088352162056875</v>
      </c>
      <c r="V15">
        <f t="shared" si="5"/>
        <v>1.0511918674754672</v>
      </c>
      <c r="W15">
        <f t="shared" si="5"/>
        <v>5.0689520841449169E-2</v>
      </c>
      <c r="X15">
        <f t="shared" si="5"/>
        <v>1.0388261264770808</v>
      </c>
      <c r="Y15">
        <f t="shared" si="5"/>
        <v>5.2465097297197026E-2</v>
      </c>
      <c r="Z15">
        <f t="shared" si="6"/>
        <v>31.746031746031743</v>
      </c>
      <c r="AA15">
        <f t="shared" si="7"/>
        <v>31.746031746031743</v>
      </c>
      <c r="AB15">
        <f t="shared" si="8"/>
        <v>317.46031746031741</v>
      </c>
      <c r="AC15">
        <v>1E-3</v>
      </c>
      <c r="AE15">
        <f t="shared" si="9"/>
        <v>3.4482758620689659E-3</v>
      </c>
      <c r="AG15">
        <f t="shared" si="10"/>
        <v>8.7454632909178369E-3</v>
      </c>
      <c r="AH15">
        <f t="shared" si="11"/>
        <v>2.5361843543661724</v>
      </c>
      <c r="AI15">
        <f t="shared" si="12"/>
        <v>1</v>
      </c>
      <c r="AJ15">
        <f t="shared" si="13"/>
        <v>3.1746031746031744</v>
      </c>
      <c r="AK15">
        <f t="shared" si="14"/>
        <v>1.0946907498631636E-2</v>
      </c>
      <c r="AM15">
        <f t="shared" si="15"/>
        <v>0</v>
      </c>
      <c r="AN15">
        <f t="shared" si="16"/>
        <v>0</v>
      </c>
      <c r="AO15">
        <f t="shared" si="17"/>
        <v>0</v>
      </c>
      <c r="AP15">
        <f t="shared" si="18"/>
        <v>0.57212576818418692</v>
      </c>
      <c r="AQ15">
        <f t="shared" si="19"/>
        <v>0.39429310344827589</v>
      </c>
    </row>
    <row r="16" spans="2:43" x14ac:dyDescent="0.2">
      <c r="K16" s="2">
        <v>20</v>
      </c>
      <c r="L16">
        <v>30</v>
      </c>
      <c r="M16">
        <v>30.333300000000001</v>
      </c>
      <c r="N16">
        <v>1.032796</v>
      </c>
      <c r="O16">
        <v>28.666699999999999</v>
      </c>
      <c r="P16">
        <v>3.2658999999999998</v>
      </c>
      <c r="Q16">
        <f>134/(250/1000)</f>
        <v>536</v>
      </c>
      <c r="R16">
        <f t="shared" si="1"/>
        <v>118.16634203350216</v>
      </c>
      <c r="S16">
        <f t="shared" si="2"/>
        <v>4.0233580054538374</v>
      </c>
      <c r="T16">
        <f t="shared" si="3"/>
        <v>111.67393844955201</v>
      </c>
      <c r="U16">
        <f t="shared" si="4"/>
        <v>12.722633424230619</v>
      </c>
      <c r="V16">
        <f t="shared" si="5"/>
        <v>1.1253937336524016</v>
      </c>
      <c r="W16">
        <f t="shared" si="5"/>
        <v>3.8317695290036549E-2</v>
      </c>
      <c r="X16">
        <f t="shared" si="5"/>
        <v>1.063561318567162</v>
      </c>
      <c r="Y16">
        <f t="shared" si="5"/>
        <v>0.12116793737362494</v>
      </c>
      <c r="Z16">
        <f t="shared" si="6"/>
        <v>31.746031746031743</v>
      </c>
      <c r="AA16">
        <f t="shared" si="7"/>
        <v>47.619047619047613</v>
      </c>
      <c r="AB16">
        <f t="shared" si="8"/>
        <v>317.46031746031741</v>
      </c>
      <c r="AC16">
        <v>1E-3</v>
      </c>
      <c r="AE16">
        <f t="shared" si="9"/>
        <v>3.4482758620689659E-3</v>
      </c>
      <c r="AG16">
        <f t="shared" si="10"/>
        <v>8.7454632909178369E-3</v>
      </c>
      <c r="AH16">
        <f t="shared" si="11"/>
        <v>3.8042765315492586</v>
      </c>
      <c r="AI16">
        <f t="shared" si="12"/>
        <v>0.66666666666666663</v>
      </c>
      <c r="AJ16">
        <f t="shared" si="13"/>
        <v>3.1746031746031744</v>
      </c>
      <c r="AK16">
        <f t="shared" si="14"/>
        <v>1.6420361247947456E-2</v>
      </c>
      <c r="AM16">
        <f t="shared" si="15"/>
        <v>0</v>
      </c>
      <c r="AN16">
        <f t="shared" si="16"/>
        <v>0</v>
      </c>
      <c r="AO16">
        <f t="shared" si="17"/>
        <v>0</v>
      </c>
      <c r="AP16">
        <f t="shared" si="18"/>
        <v>0.35601208082298524</v>
      </c>
      <c r="AQ16">
        <f t="shared" si="19"/>
        <v>0.17524137931034484</v>
      </c>
    </row>
    <row r="17" spans="11:43" x14ac:dyDescent="0.2">
      <c r="K17" s="2">
        <v>20</v>
      </c>
      <c r="L17">
        <v>40</v>
      </c>
      <c r="M17">
        <v>31.6</v>
      </c>
      <c r="N17">
        <v>0.89444699999999999</v>
      </c>
      <c r="O17">
        <v>27</v>
      </c>
      <c r="P17">
        <v>1</v>
      </c>
      <c r="Q17">
        <f>184/(250/1000)</f>
        <v>736</v>
      </c>
      <c r="R17">
        <f t="shared" si="1"/>
        <v>123.1008959875341</v>
      </c>
      <c r="S17">
        <f t="shared" si="2"/>
        <v>3.4844059213089209</v>
      </c>
      <c r="T17">
        <f t="shared" si="3"/>
        <v>105.18114530580445</v>
      </c>
      <c r="U17">
        <f t="shared" si="4"/>
        <v>3.8955979742890534</v>
      </c>
      <c r="V17">
        <f t="shared" si="5"/>
        <v>1.1723894855955628</v>
      </c>
      <c r="W17">
        <f t="shared" si="5"/>
        <v>3.3184818298180201E-2</v>
      </c>
      <c r="X17">
        <f t="shared" si="5"/>
        <v>1.0017251933886138</v>
      </c>
      <c r="Y17">
        <f t="shared" si="5"/>
        <v>3.7100933088467174E-2</v>
      </c>
      <c r="Z17">
        <f t="shared" si="6"/>
        <v>31.746031746031743</v>
      </c>
      <c r="AA17">
        <f t="shared" si="7"/>
        <v>63.492063492063487</v>
      </c>
      <c r="AB17">
        <f t="shared" si="8"/>
        <v>317.46031746031741</v>
      </c>
      <c r="AC17">
        <v>1E-3</v>
      </c>
      <c r="AE17">
        <f t="shared" si="9"/>
        <v>3.4482758620689659E-3</v>
      </c>
      <c r="AG17">
        <f t="shared" si="10"/>
        <v>8.7454632909178369E-3</v>
      </c>
      <c r="AH17">
        <f t="shared" si="11"/>
        <v>5.0723687087323448</v>
      </c>
      <c r="AI17">
        <f t="shared" si="12"/>
        <v>0.5</v>
      </c>
      <c r="AJ17">
        <f t="shared" si="13"/>
        <v>3.1746031746031744</v>
      </c>
      <c r="AK17">
        <f t="shared" si="14"/>
        <v>2.1893814997263273E-2</v>
      </c>
      <c r="AM17">
        <f t="shared" si="15"/>
        <v>0</v>
      </c>
      <c r="AN17">
        <f t="shared" si="16"/>
        <v>0</v>
      </c>
      <c r="AO17">
        <f t="shared" si="17"/>
        <v>0</v>
      </c>
      <c r="AP17">
        <f t="shared" si="18"/>
        <v>0.25426490087865811</v>
      </c>
      <c r="AQ17">
        <f t="shared" si="19"/>
        <v>9.8573275862068974E-2</v>
      </c>
    </row>
    <row r="18" spans="11:43" x14ac:dyDescent="0.2">
      <c r="K18" s="2">
        <v>20</v>
      </c>
      <c r="L18">
        <v>50</v>
      </c>
      <c r="M18" s="6"/>
      <c r="N18" s="6"/>
      <c r="O18" s="6"/>
      <c r="P18" s="6"/>
      <c r="Q18" s="6"/>
      <c r="R18">
        <f t="shared" si="1"/>
        <v>0</v>
      </c>
      <c r="S18">
        <f t="shared" si="2"/>
        <v>0</v>
      </c>
      <c r="T18">
        <f t="shared" si="3"/>
        <v>0</v>
      </c>
      <c r="U18">
        <f t="shared" si="4"/>
        <v>0</v>
      </c>
      <c r="V18">
        <f t="shared" si="5"/>
        <v>0</v>
      </c>
      <c r="W18">
        <f t="shared" si="5"/>
        <v>0</v>
      </c>
      <c r="X18">
        <f t="shared" si="5"/>
        <v>0</v>
      </c>
      <c r="Y18">
        <f t="shared" si="5"/>
        <v>0</v>
      </c>
      <c r="Z18">
        <f t="shared" si="6"/>
        <v>31.746031746031743</v>
      </c>
      <c r="AA18">
        <f t="shared" si="7"/>
        <v>79.365079365079353</v>
      </c>
      <c r="AB18">
        <f t="shared" si="8"/>
        <v>317.46031746031741</v>
      </c>
      <c r="AC18">
        <v>1E-3</v>
      </c>
      <c r="AE18">
        <f t="shared" si="9"/>
        <v>3.4482758620689659E-3</v>
      </c>
      <c r="AG18">
        <f t="shared" si="10"/>
        <v>8.7454632909178369E-3</v>
      </c>
      <c r="AH18">
        <f t="shared" si="11"/>
        <v>6.3404608859154301</v>
      </c>
      <c r="AI18">
        <f t="shared" si="12"/>
        <v>0.4</v>
      </c>
      <c r="AJ18">
        <f t="shared" si="13"/>
        <v>3.1746031746031744</v>
      </c>
      <c r="AK18">
        <f t="shared" si="14"/>
        <v>2.736726874657909E-2</v>
      </c>
      <c r="AM18">
        <f t="shared" si="15"/>
        <v>0</v>
      </c>
      <c r="AN18">
        <f t="shared" si="16"/>
        <v>0</v>
      </c>
      <c r="AO18">
        <f t="shared" si="17"/>
        <v>0</v>
      </c>
      <c r="AP18">
        <f t="shared" si="18"/>
        <v>0.19584013435453307</v>
      </c>
      <c r="AQ18">
        <f t="shared" si="19"/>
        <v>6.3086896551724156E-2</v>
      </c>
    </row>
    <row r="19" spans="11:43" x14ac:dyDescent="0.2">
      <c r="K19" s="2">
        <v>20</v>
      </c>
      <c r="L19">
        <v>50</v>
      </c>
      <c r="M19" s="6"/>
      <c r="N19" s="6"/>
      <c r="O19" s="6"/>
      <c r="P19" s="6"/>
      <c r="Q19" s="6"/>
      <c r="R19">
        <f t="shared" si="1"/>
        <v>0</v>
      </c>
      <c r="S19">
        <f t="shared" si="2"/>
        <v>0</v>
      </c>
      <c r="T19">
        <f t="shared" si="3"/>
        <v>0</v>
      </c>
      <c r="U19">
        <f t="shared" si="4"/>
        <v>0</v>
      </c>
      <c r="V19">
        <f t="shared" si="5"/>
        <v>0</v>
      </c>
      <c r="W19">
        <f t="shared" si="5"/>
        <v>0</v>
      </c>
      <c r="X19">
        <f t="shared" si="5"/>
        <v>0</v>
      </c>
      <c r="Y19">
        <f t="shared" si="5"/>
        <v>0</v>
      </c>
      <c r="Z19">
        <f t="shared" si="6"/>
        <v>31.746031746031743</v>
      </c>
      <c r="AA19">
        <f t="shared" si="7"/>
        <v>79.365079365079353</v>
      </c>
      <c r="AB19">
        <f t="shared" si="8"/>
        <v>317.46031746031741</v>
      </c>
      <c r="AC19">
        <v>1E-3</v>
      </c>
      <c r="AE19">
        <f t="shared" si="9"/>
        <v>3.4482758620689659E-3</v>
      </c>
      <c r="AG19">
        <f t="shared" si="10"/>
        <v>8.7454632909178369E-3</v>
      </c>
      <c r="AH19">
        <f t="shared" si="11"/>
        <v>6.3404608859154301</v>
      </c>
      <c r="AI19">
        <f t="shared" si="12"/>
        <v>0.4</v>
      </c>
      <c r="AJ19">
        <f t="shared" si="13"/>
        <v>3.1746031746031744</v>
      </c>
      <c r="AK19">
        <f t="shared" si="14"/>
        <v>2.736726874657909E-2</v>
      </c>
      <c r="AM19">
        <f t="shared" si="15"/>
        <v>0</v>
      </c>
      <c r="AN19">
        <f t="shared" si="16"/>
        <v>0</v>
      </c>
      <c r="AO19">
        <f t="shared" si="17"/>
        <v>0</v>
      </c>
      <c r="AP19">
        <f t="shared" si="18"/>
        <v>0.19584013435453307</v>
      </c>
      <c r="AQ19">
        <f t="shared" si="19"/>
        <v>6.3086896551724156E-2</v>
      </c>
    </row>
    <row r="20" spans="11:43" x14ac:dyDescent="0.2">
      <c r="K20" s="2">
        <v>20</v>
      </c>
      <c r="L20">
        <v>60</v>
      </c>
      <c r="M20" s="6"/>
      <c r="N20" s="6"/>
      <c r="O20" s="6"/>
      <c r="P20" s="6"/>
      <c r="Q20" s="6"/>
      <c r="R20">
        <f t="shared" si="1"/>
        <v>0</v>
      </c>
      <c r="S20">
        <f t="shared" si="2"/>
        <v>0</v>
      </c>
      <c r="T20">
        <f t="shared" si="3"/>
        <v>0</v>
      </c>
      <c r="U20">
        <f t="shared" si="4"/>
        <v>0</v>
      </c>
      <c r="V20">
        <f t="shared" si="5"/>
        <v>0</v>
      </c>
      <c r="W20">
        <f t="shared" si="5"/>
        <v>0</v>
      </c>
      <c r="X20">
        <f t="shared" si="5"/>
        <v>0</v>
      </c>
      <c r="Y20">
        <f t="shared" si="5"/>
        <v>0</v>
      </c>
      <c r="Z20">
        <f t="shared" si="6"/>
        <v>31.746031746031743</v>
      </c>
      <c r="AA20">
        <f t="shared" si="7"/>
        <v>95.238095238095227</v>
      </c>
      <c r="AB20">
        <f t="shared" si="8"/>
        <v>317.46031746031741</v>
      </c>
      <c r="AC20">
        <v>1E-3</v>
      </c>
      <c r="AE20">
        <f t="shared" si="9"/>
        <v>3.4482758620689659E-3</v>
      </c>
      <c r="AG20">
        <f t="shared" si="10"/>
        <v>8.7454632909178369E-3</v>
      </c>
      <c r="AH20">
        <f t="shared" si="11"/>
        <v>7.6085530630985172</v>
      </c>
      <c r="AI20">
        <f t="shared" si="12"/>
        <v>0.33333333333333331</v>
      </c>
      <c r="AJ20">
        <f t="shared" si="13"/>
        <v>3.1746031746031744</v>
      </c>
      <c r="AK20">
        <f t="shared" si="14"/>
        <v>3.2840722495894911E-2</v>
      </c>
      <c r="AM20">
        <f t="shared" si="15"/>
        <v>0</v>
      </c>
      <c r="AN20">
        <f t="shared" si="16"/>
        <v>0</v>
      </c>
      <c r="AO20">
        <f t="shared" si="17"/>
        <v>0</v>
      </c>
      <c r="AP20">
        <f t="shared" si="18"/>
        <v>0.15821936622319599</v>
      </c>
      <c r="AQ20">
        <f t="shared" si="19"/>
        <v>4.3810344827586209E-2</v>
      </c>
    </row>
    <row r="21" spans="11:43" x14ac:dyDescent="0.2">
      <c r="K21" s="2">
        <v>20</v>
      </c>
      <c r="L21">
        <v>70</v>
      </c>
      <c r="M21" s="6"/>
      <c r="N21" s="6"/>
      <c r="O21" s="6"/>
      <c r="P21" s="6"/>
      <c r="Q21" s="6"/>
      <c r="R21">
        <f t="shared" si="1"/>
        <v>0</v>
      </c>
      <c r="S21">
        <f t="shared" si="2"/>
        <v>0</v>
      </c>
      <c r="T21">
        <f t="shared" si="3"/>
        <v>0</v>
      </c>
      <c r="U21">
        <f t="shared" si="4"/>
        <v>0</v>
      </c>
      <c r="V21">
        <f t="shared" si="5"/>
        <v>0</v>
      </c>
      <c r="W21">
        <f t="shared" si="5"/>
        <v>0</v>
      </c>
      <c r="X21">
        <f t="shared" si="5"/>
        <v>0</v>
      </c>
      <c r="Y21">
        <f t="shared" si="5"/>
        <v>0</v>
      </c>
      <c r="Z21">
        <f t="shared" si="6"/>
        <v>31.746031746031743</v>
      </c>
      <c r="AA21">
        <f t="shared" si="7"/>
        <v>111.1111111111111</v>
      </c>
      <c r="AB21">
        <f t="shared" si="8"/>
        <v>317.46031746031741</v>
      </c>
      <c r="AC21">
        <v>1E-3</v>
      </c>
      <c r="AE21">
        <f t="shared" si="9"/>
        <v>3.4482758620689659E-3</v>
      </c>
      <c r="AG21">
        <f t="shared" si="10"/>
        <v>8.7454632909178369E-3</v>
      </c>
      <c r="AH21">
        <f t="shared" si="11"/>
        <v>8.8766452402816043</v>
      </c>
      <c r="AI21">
        <f t="shared" si="12"/>
        <v>0.2857142857142857</v>
      </c>
      <c r="AJ21">
        <f t="shared" si="13"/>
        <v>3.1746031746031744</v>
      </c>
      <c r="AK21">
        <f t="shared" si="14"/>
        <v>3.8314176245210725E-2</v>
      </c>
      <c r="AM21">
        <f t="shared" si="15"/>
        <v>0</v>
      </c>
      <c r="AN21">
        <f t="shared" si="16"/>
        <v>0</v>
      </c>
      <c r="AO21">
        <f t="shared" si="17"/>
        <v>0</v>
      </c>
      <c r="AP21">
        <f t="shared" si="18"/>
        <v>0.13210884531463207</v>
      </c>
      <c r="AQ21">
        <f t="shared" si="19"/>
        <v>3.2187192118226599E-2</v>
      </c>
    </row>
    <row r="22" spans="11:43" x14ac:dyDescent="0.2">
      <c r="K22" s="2">
        <v>20</v>
      </c>
      <c r="L22">
        <v>80</v>
      </c>
      <c r="M22" s="6"/>
      <c r="N22" s="6"/>
      <c r="O22" s="6"/>
      <c r="P22" s="6"/>
      <c r="Q22" s="6"/>
      <c r="R22">
        <f t="shared" si="1"/>
        <v>0</v>
      </c>
      <c r="S22">
        <f t="shared" si="2"/>
        <v>0</v>
      </c>
      <c r="T22">
        <f t="shared" si="3"/>
        <v>0</v>
      </c>
      <c r="U22">
        <f t="shared" si="4"/>
        <v>0</v>
      </c>
      <c r="V22">
        <f t="shared" si="5"/>
        <v>0</v>
      </c>
      <c r="W22">
        <f t="shared" si="5"/>
        <v>0</v>
      </c>
      <c r="X22">
        <f t="shared" si="5"/>
        <v>0</v>
      </c>
      <c r="Y22">
        <f t="shared" si="5"/>
        <v>0</v>
      </c>
      <c r="Z22">
        <f t="shared" si="6"/>
        <v>31.746031746031743</v>
      </c>
      <c r="AA22">
        <f t="shared" si="7"/>
        <v>126.98412698412697</v>
      </c>
      <c r="AB22">
        <f t="shared" si="8"/>
        <v>317.46031746031741</v>
      </c>
      <c r="AC22">
        <v>1E-3</v>
      </c>
      <c r="AE22">
        <f t="shared" si="9"/>
        <v>3.4482758620689659E-3</v>
      </c>
      <c r="AG22">
        <f t="shared" si="10"/>
        <v>8.7454632909178369E-3</v>
      </c>
      <c r="AH22">
        <f t="shared" si="11"/>
        <v>10.14473741746469</v>
      </c>
      <c r="AI22">
        <f t="shared" si="12"/>
        <v>0.25</v>
      </c>
      <c r="AJ22">
        <f t="shared" si="13"/>
        <v>3.1746031746031744</v>
      </c>
      <c r="AK22">
        <f t="shared" si="14"/>
        <v>4.3787629994526546E-2</v>
      </c>
      <c r="AM22">
        <f t="shared" si="15"/>
        <v>0</v>
      </c>
      <c r="AN22">
        <f t="shared" si="16"/>
        <v>0</v>
      </c>
      <c r="AO22">
        <f t="shared" si="17"/>
        <v>0</v>
      </c>
      <c r="AP22">
        <f t="shared" si="18"/>
        <v>0.11300074811176934</v>
      </c>
      <c r="AQ22">
        <f t="shared" si="19"/>
        <v>2.4643318965517243E-2</v>
      </c>
    </row>
    <row r="23" spans="11:43" x14ac:dyDescent="0.2">
      <c r="K23" s="2">
        <v>20</v>
      </c>
      <c r="L23">
        <v>90</v>
      </c>
      <c r="M23" s="6"/>
      <c r="N23" s="6"/>
      <c r="O23" s="6"/>
      <c r="P23" s="6"/>
      <c r="Q23" s="6"/>
      <c r="R23">
        <f t="shared" si="1"/>
        <v>0</v>
      </c>
      <c r="S23">
        <f t="shared" si="2"/>
        <v>0</v>
      </c>
      <c r="T23">
        <f t="shared" si="3"/>
        <v>0</v>
      </c>
      <c r="U23">
        <f t="shared" si="4"/>
        <v>0</v>
      </c>
      <c r="V23">
        <f t="shared" si="5"/>
        <v>0</v>
      </c>
      <c r="W23">
        <f t="shared" si="5"/>
        <v>0</v>
      </c>
      <c r="X23">
        <f t="shared" si="5"/>
        <v>0</v>
      </c>
      <c r="Y23">
        <f t="shared" si="5"/>
        <v>0</v>
      </c>
      <c r="Z23">
        <f t="shared" si="6"/>
        <v>31.746031746031743</v>
      </c>
      <c r="AA23">
        <f t="shared" si="7"/>
        <v>142.85714285714283</v>
      </c>
      <c r="AB23">
        <f t="shared" si="8"/>
        <v>317.46031746031741</v>
      </c>
      <c r="AC23">
        <v>1E-3</v>
      </c>
      <c r="AE23">
        <f t="shared" si="9"/>
        <v>3.4482758620689659E-3</v>
      </c>
      <c r="AG23">
        <f t="shared" si="10"/>
        <v>8.7454632909178369E-3</v>
      </c>
      <c r="AH23">
        <f t="shared" si="11"/>
        <v>11.412829594647773</v>
      </c>
      <c r="AI23">
        <f t="shared" si="12"/>
        <v>0.22222222222222221</v>
      </c>
      <c r="AJ23">
        <f t="shared" si="13"/>
        <v>3.1746031746031744</v>
      </c>
      <c r="AK23">
        <f t="shared" si="14"/>
        <v>4.926108374384236E-2</v>
      </c>
      <c r="AM23">
        <f t="shared" si="15"/>
        <v>0</v>
      </c>
      <c r="AN23">
        <f t="shared" si="16"/>
        <v>0</v>
      </c>
      <c r="AO23">
        <f t="shared" si="17"/>
        <v>0</v>
      </c>
      <c r="AP23">
        <f t="shared" si="18"/>
        <v>9.8453887113646055E-2</v>
      </c>
      <c r="AQ23">
        <f t="shared" si="19"/>
        <v>1.9471264367816096E-2</v>
      </c>
    </row>
    <row r="24" spans="11:43" x14ac:dyDescent="0.2">
      <c r="K24" s="2">
        <v>40</v>
      </c>
      <c r="L24">
        <v>100</v>
      </c>
      <c r="M24" s="6"/>
      <c r="N24" s="6"/>
      <c r="O24" s="6"/>
      <c r="P24" s="6"/>
      <c r="Q24" s="6"/>
      <c r="R24">
        <f t="shared" si="1"/>
        <v>0</v>
      </c>
      <c r="S24">
        <f t="shared" si="2"/>
        <v>0</v>
      </c>
      <c r="T24">
        <f t="shared" si="3"/>
        <v>0</v>
      </c>
      <c r="U24">
        <f t="shared" si="4"/>
        <v>0</v>
      </c>
      <c r="V24">
        <f t="shared" si="5"/>
        <v>0</v>
      </c>
      <c r="W24">
        <f t="shared" si="5"/>
        <v>0</v>
      </c>
      <c r="X24">
        <f t="shared" si="5"/>
        <v>0</v>
      </c>
      <c r="Y24">
        <f t="shared" si="5"/>
        <v>0</v>
      </c>
      <c r="Z24">
        <f t="shared" si="6"/>
        <v>63.492063492063487</v>
      </c>
      <c r="AA24">
        <f t="shared" si="7"/>
        <v>158.73015873015871</v>
      </c>
      <c r="AB24">
        <f t="shared" si="8"/>
        <v>634.92063492063482</v>
      </c>
      <c r="AC24">
        <v>1E-3</v>
      </c>
      <c r="AE24">
        <f t="shared" si="9"/>
        <v>3.4482758620689659E-3</v>
      </c>
      <c r="AG24">
        <f t="shared" si="10"/>
        <v>1.7490926581835674E-2</v>
      </c>
      <c r="AH24">
        <f t="shared" si="11"/>
        <v>12.68092177183086</v>
      </c>
      <c r="AI24">
        <f t="shared" si="12"/>
        <v>0.4</v>
      </c>
      <c r="AJ24">
        <f t="shared" si="13"/>
        <v>6.3492063492063489</v>
      </c>
      <c r="AK24">
        <f t="shared" si="14"/>
        <v>5.4734537493158181E-2</v>
      </c>
      <c r="AM24">
        <f t="shared" si="15"/>
        <v>0</v>
      </c>
      <c r="AN24">
        <f t="shared" si="16"/>
        <v>0</v>
      </c>
      <c r="AO24">
        <f t="shared" si="17"/>
        <v>0</v>
      </c>
      <c r="AP24">
        <f t="shared" si="18"/>
        <v>0.12920630326381646</v>
      </c>
      <c r="AQ24">
        <f t="shared" si="19"/>
        <v>3.1543448275862078E-2</v>
      </c>
    </row>
    <row r="25" spans="11:43" x14ac:dyDescent="0.2">
      <c r="K25" s="2">
        <v>40</v>
      </c>
      <c r="L25">
        <v>40</v>
      </c>
      <c r="M25">
        <v>32</v>
      </c>
      <c r="N25">
        <v>0.70710700000000004</v>
      </c>
      <c r="O25">
        <v>23.6</v>
      </c>
      <c r="P25">
        <v>0.89442699999999997</v>
      </c>
      <c r="Q25">
        <f>168/(250/2000)</f>
        <v>1344</v>
      </c>
      <c r="R25">
        <f t="shared" si="1"/>
        <v>124.65913517724971</v>
      </c>
      <c r="S25">
        <f t="shared" si="2"/>
        <v>2.7546045968056099</v>
      </c>
      <c r="T25">
        <f t="shared" si="3"/>
        <v>91.936112193221675</v>
      </c>
      <c r="U25">
        <f t="shared" si="4"/>
        <v>3.4843280093494351</v>
      </c>
      <c r="V25">
        <f t="shared" si="5"/>
        <v>1.1872298588309496</v>
      </c>
      <c r="W25">
        <f t="shared" si="5"/>
        <v>2.6234329493386759E-2</v>
      </c>
      <c r="X25">
        <f t="shared" si="5"/>
        <v>0.87558202088782544</v>
      </c>
      <c r="Y25">
        <f t="shared" si="5"/>
        <v>3.3184076279518429E-2</v>
      </c>
      <c r="Z25">
        <f t="shared" si="6"/>
        <v>63.492063492063487</v>
      </c>
      <c r="AA25">
        <f t="shared" si="7"/>
        <v>63.492063492063487</v>
      </c>
      <c r="AB25">
        <f t="shared" si="8"/>
        <v>634.92063492063482</v>
      </c>
      <c r="AC25">
        <v>1E-3</v>
      </c>
      <c r="AE25">
        <f t="shared" si="9"/>
        <v>3.4482758620689659E-3</v>
      </c>
      <c r="AG25">
        <f t="shared" si="10"/>
        <v>1.7490926581835674E-2</v>
      </c>
      <c r="AH25">
        <f t="shared" si="11"/>
        <v>5.0723687087323448</v>
      </c>
      <c r="AI25">
        <f t="shared" si="12"/>
        <v>1</v>
      </c>
      <c r="AJ25">
        <f t="shared" si="13"/>
        <v>6.3492063492063489</v>
      </c>
      <c r="AK25">
        <f t="shared" si="14"/>
        <v>2.1893814997263273E-2</v>
      </c>
      <c r="AM25">
        <f t="shared" si="15"/>
        <v>0</v>
      </c>
      <c r="AN25">
        <f t="shared" si="16"/>
        <v>0</v>
      </c>
      <c r="AO25">
        <f t="shared" si="17"/>
        <v>0</v>
      </c>
      <c r="AP25">
        <f t="shared" si="18"/>
        <v>0.3774622385380268</v>
      </c>
      <c r="AQ25">
        <f t="shared" si="19"/>
        <v>0.19714655172413795</v>
      </c>
    </row>
    <row r="26" spans="11:43" x14ac:dyDescent="0.2">
      <c r="K26" s="2">
        <v>40</v>
      </c>
      <c r="L26">
        <v>50</v>
      </c>
      <c r="M26">
        <v>24.833300000000001</v>
      </c>
      <c r="N26">
        <v>0.75277300000000003</v>
      </c>
      <c r="O26">
        <v>20.66667</v>
      </c>
      <c r="P26">
        <v>1.032796</v>
      </c>
      <c r="Q26">
        <f>222/(250/2000)</f>
        <v>1776</v>
      </c>
      <c r="R26">
        <f t="shared" si="1"/>
        <v>96.740553174912364</v>
      </c>
      <c r="S26">
        <f t="shared" si="2"/>
        <v>2.932500973899494</v>
      </c>
      <c r="T26">
        <f t="shared" si="3"/>
        <v>80.509037787300358</v>
      </c>
      <c r="U26">
        <f t="shared" si="4"/>
        <v>4.0233580054538374</v>
      </c>
      <c r="V26">
        <f t="shared" si="5"/>
        <v>0.92133860166583204</v>
      </c>
      <c r="W26">
        <f t="shared" si="5"/>
        <v>2.7928580703804703E-2</v>
      </c>
      <c r="X26">
        <f t="shared" si="5"/>
        <v>0.76675274083143197</v>
      </c>
      <c r="Y26">
        <f t="shared" si="5"/>
        <v>3.8317695290036549E-2</v>
      </c>
      <c r="Z26">
        <f t="shared" si="6"/>
        <v>63.492063492063487</v>
      </c>
      <c r="AA26">
        <f t="shared" si="7"/>
        <v>79.365079365079353</v>
      </c>
      <c r="AB26">
        <f t="shared" si="8"/>
        <v>634.92063492063482</v>
      </c>
      <c r="AC26">
        <v>1E-3</v>
      </c>
      <c r="AE26">
        <f t="shared" si="9"/>
        <v>3.4482758620689659E-3</v>
      </c>
      <c r="AG26">
        <f t="shared" si="10"/>
        <v>1.7490926581835674E-2</v>
      </c>
      <c r="AH26">
        <f t="shared" si="11"/>
        <v>6.3404608859154301</v>
      </c>
      <c r="AI26">
        <f t="shared" si="12"/>
        <v>0.8</v>
      </c>
      <c r="AJ26">
        <f t="shared" si="13"/>
        <v>6.3492063492063489</v>
      </c>
      <c r="AK26">
        <f t="shared" si="14"/>
        <v>2.736726874657909E-2</v>
      </c>
      <c r="AM26">
        <f t="shared" si="15"/>
        <v>0</v>
      </c>
      <c r="AN26">
        <f t="shared" si="16"/>
        <v>0</v>
      </c>
      <c r="AO26">
        <f t="shared" si="17"/>
        <v>0</v>
      </c>
      <c r="AP26">
        <f t="shared" si="18"/>
        <v>0.29072929552446414</v>
      </c>
      <c r="AQ26">
        <f t="shared" si="19"/>
        <v>0.12617379310344831</v>
      </c>
    </row>
    <row r="27" spans="11:43" x14ac:dyDescent="0.2">
      <c r="K27" s="2">
        <v>40</v>
      </c>
      <c r="L27">
        <v>60</v>
      </c>
      <c r="M27" s="6"/>
      <c r="N27" s="6"/>
      <c r="O27" s="6"/>
      <c r="P27" s="6"/>
      <c r="Q27" s="6"/>
      <c r="R27">
        <f t="shared" si="1"/>
        <v>0</v>
      </c>
      <c r="S27">
        <f t="shared" si="2"/>
        <v>0</v>
      </c>
      <c r="T27">
        <f t="shared" si="3"/>
        <v>0</v>
      </c>
      <c r="U27">
        <f t="shared" si="4"/>
        <v>0</v>
      </c>
      <c r="V27">
        <f t="shared" si="5"/>
        <v>0</v>
      </c>
      <c r="W27">
        <f t="shared" si="5"/>
        <v>0</v>
      </c>
      <c r="X27">
        <f t="shared" si="5"/>
        <v>0</v>
      </c>
      <c r="Y27">
        <f t="shared" si="5"/>
        <v>0</v>
      </c>
      <c r="Z27">
        <f t="shared" si="6"/>
        <v>63.492063492063487</v>
      </c>
      <c r="AA27">
        <f t="shared" si="7"/>
        <v>95.238095238095227</v>
      </c>
      <c r="AB27">
        <f t="shared" si="8"/>
        <v>634.92063492063482</v>
      </c>
      <c r="AC27">
        <v>1E-3</v>
      </c>
      <c r="AE27">
        <f t="shared" si="9"/>
        <v>3.4482758620689659E-3</v>
      </c>
      <c r="AG27">
        <f t="shared" si="10"/>
        <v>1.7490926581835674E-2</v>
      </c>
      <c r="AH27">
        <f t="shared" si="11"/>
        <v>7.6085530630985172</v>
      </c>
      <c r="AI27">
        <f t="shared" si="12"/>
        <v>0.66666666666666663</v>
      </c>
      <c r="AJ27">
        <f t="shared" si="13"/>
        <v>6.3492063492063489</v>
      </c>
      <c r="AK27">
        <f t="shared" si="14"/>
        <v>3.2840722495894911E-2</v>
      </c>
      <c r="AM27">
        <f t="shared" si="15"/>
        <v>0</v>
      </c>
      <c r="AN27">
        <f t="shared" si="16"/>
        <v>0</v>
      </c>
      <c r="AO27">
        <f t="shared" si="17"/>
        <v>0</v>
      </c>
      <c r="AP27">
        <f t="shared" si="18"/>
        <v>0.23488037848832408</v>
      </c>
      <c r="AQ27">
        <f t="shared" si="19"/>
        <v>8.7620689655172418E-2</v>
      </c>
    </row>
    <row r="28" spans="11:43" x14ac:dyDescent="0.2">
      <c r="K28" s="2">
        <v>40</v>
      </c>
      <c r="L28">
        <v>80</v>
      </c>
      <c r="M28" s="6"/>
      <c r="N28" s="6"/>
      <c r="O28" s="6"/>
      <c r="P28" s="6"/>
      <c r="Q28" s="6"/>
      <c r="R28">
        <f t="shared" si="1"/>
        <v>0</v>
      </c>
      <c r="S28">
        <f t="shared" si="2"/>
        <v>0</v>
      </c>
      <c r="T28">
        <f t="shared" si="3"/>
        <v>0</v>
      </c>
      <c r="U28">
        <f t="shared" si="4"/>
        <v>0</v>
      </c>
      <c r="V28">
        <f t="shared" si="5"/>
        <v>0</v>
      </c>
      <c r="W28">
        <f t="shared" si="5"/>
        <v>0</v>
      </c>
      <c r="X28">
        <f t="shared" si="5"/>
        <v>0</v>
      </c>
      <c r="Y28">
        <f t="shared" si="5"/>
        <v>0</v>
      </c>
      <c r="Z28">
        <f t="shared" si="6"/>
        <v>63.492063492063487</v>
      </c>
      <c r="AA28">
        <f t="shared" si="7"/>
        <v>126.98412698412697</v>
      </c>
      <c r="AB28">
        <f t="shared" si="8"/>
        <v>634.92063492063482</v>
      </c>
      <c r="AC28">
        <v>1E-3</v>
      </c>
      <c r="AE28">
        <f t="shared" si="9"/>
        <v>3.4482758620689659E-3</v>
      </c>
      <c r="AG28">
        <f t="shared" si="10"/>
        <v>1.7490926581835674E-2</v>
      </c>
      <c r="AH28">
        <f t="shared" si="11"/>
        <v>10.14473741746469</v>
      </c>
      <c r="AI28">
        <f t="shared" si="12"/>
        <v>0.5</v>
      </c>
      <c r="AJ28">
        <f>1000*(Z28/1000)*($I$4/10^6)/AC28</f>
        <v>6.3492063492063489</v>
      </c>
      <c r="AK28">
        <f t="shared" si="14"/>
        <v>4.3787629994526546E-2</v>
      </c>
      <c r="AM28">
        <f t="shared" si="15"/>
        <v>0</v>
      </c>
      <c r="AN28">
        <f t="shared" si="16"/>
        <v>0</v>
      </c>
      <c r="AO28">
        <f t="shared" si="17"/>
        <v>0</v>
      </c>
      <c r="AP28">
        <f t="shared" si="18"/>
        <v>0.16775227407063759</v>
      </c>
      <c r="AQ28">
        <f t="shared" si="19"/>
        <v>4.9286637931034487E-2</v>
      </c>
    </row>
    <row r="29" spans="11:43" x14ac:dyDescent="0.2">
      <c r="K29" s="2">
        <v>5</v>
      </c>
      <c r="L29">
        <v>100</v>
      </c>
      <c r="M29">
        <v>6.125</v>
      </c>
      <c r="N29">
        <v>1.1259920000000001</v>
      </c>
      <c r="O29">
        <v>4.875</v>
      </c>
      <c r="P29">
        <v>1.457738</v>
      </c>
      <c r="Q29">
        <f>95/(250/250)</f>
        <v>95</v>
      </c>
      <c r="R29">
        <f t="shared" si="1"/>
        <v>23.860537592520455</v>
      </c>
      <c r="S29">
        <f t="shared" si="2"/>
        <v>4.3864121542656802</v>
      </c>
      <c r="T29">
        <f t="shared" si="3"/>
        <v>18.991040124659136</v>
      </c>
      <c r="U29">
        <f t="shared" si="4"/>
        <v>5.6787611998441765</v>
      </c>
      <c r="V29">
        <f t="shared" si="5"/>
        <v>0.22724321516686147</v>
      </c>
      <c r="W29">
        <f t="shared" si="5"/>
        <v>4.1775353850149334E-2</v>
      </c>
      <c r="X29">
        <f t="shared" si="5"/>
        <v>0.18086704880627749</v>
      </c>
      <c r="Y29">
        <f t="shared" si="5"/>
        <v>5.4083439998515968E-2</v>
      </c>
      <c r="Z29">
        <f t="shared" si="6"/>
        <v>7.9365079365079358</v>
      </c>
      <c r="AA29">
        <f t="shared" si="7"/>
        <v>158.73015873015871</v>
      </c>
      <c r="AB29">
        <f t="shared" si="8"/>
        <v>79.365079365079353</v>
      </c>
      <c r="AC29">
        <v>1E-3</v>
      </c>
      <c r="AE29">
        <f t="shared" si="9"/>
        <v>3.4482758620689659E-3</v>
      </c>
      <c r="AG29">
        <f t="shared" si="10"/>
        <v>2.1863658227294592E-3</v>
      </c>
      <c r="AH29">
        <f t="shared" si="11"/>
        <v>12.68092177183086</v>
      </c>
      <c r="AI29">
        <f t="shared" si="12"/>
        <v>0.05</v>
      </c>
      <c r="AJ29">
        <f t="shared" si="13"/>
        <v>0.79365079365079361</v>
      </c>
      <c r="AK29">
        <f t="shared" si="14"/>
        <v>5.4734537493158181E-2</v>
      </c>
      <c r="AM29">
        <f t="shared" si="15"/>
        <v>0</v>
      </c>
      <c r="AN29">
        <f t="shared" si="16"/>
        <v>0</v>
      </c>
      <c r="AO29">
        <f t="shared" si="17"/>
        <v>0</v>
      </c>
      <c r="AP29">
        <f t="shared" si="18"/>
        <v>3.9493207625509549E-2</v>
      </c>
      <c r="AQ29">
        <f t="shared" si="19"/>
        <v>3.9429310344827597E-3</v>
      </c>
    </row>
    <row r="30" spans="11:43" x14ac:dyDescent="0.2">
      <c r="K30" s="2">
        <v>5</v>
      </c>
      <c r="L30">
        <v>10</v>
      </c>
      <c r="M30">
        <v>26.751100000000001</v>
      </c>
      <c r="N30">
        <v>1.0036</v>
      </c>
      <c r="O30">
        <v>25.967700000000001</v>
      </c>
      <c r="P30">
        <v>0.98050000000000004</v>
      </c>
      <c r="Q30">
        <f>137/(250/250)</f>
        <v>137</v>
      </c>
      <c r="R30">
        <f t="shared" si="1"/>
        <v>104.21153097000391</v>
      </c>
      <c r="S30">
        <f t="shared" si="2"/>
        <v>3.9096221269964944</v>
      </c>
      <c r="T30">
        <f t="shared" si="3"/>
        <v>101.15971951694586</v>
      </c>
      <c r="U30">
        <f t="shared" si="4"/>
        <v>3.8196338137904173</v>
      </c>
      <c r="V30">
        <f t="shared" si="5"/>
        <v>0.9924907711428943</v>
      </c>
      <c r="W30">
        <f t="shared" si="5"/>
        <v>3.7234496447585662E-2</v>
      </c>
      <c r="X30">
        <f t="shared" si="5"/>
        <v>0.96342590016138907</v>
      </c>
      <c r="Y30">
        <f t="shared" si="5"/>
        <v>3.6377464893242069E-2</v>
      </c>
      <c r="Z30">
        <f t="shared" si="6"/>
        <v>7.9365079365079358</v>
      </c>
      <c r="AA30">
        <f t="shared" si="7"/>
        <v>15.873015873015872</v>
      </c>
      <c r="AB30">
        <f t="shared" si="8"/>
        <v>79.365079365079353</v>
      </c>
      <c r="AC30">
        <v>1E-3</v>
      </c>
      <c r="AE30">
        <f t="shared" si="9"/>
        <v>3.4482758620689659E-3</v>
      </c>
      <c r="AG30">
        <f t="shared" si="10"/>
        <v>2.1863658227294592E-3</v>
      </c>
      <c r="AH30">
        <f t="shared" si="11"/>
        <v>1.2680921771830862</v>
      </c>
      <c r="AI30">
        <f t="shared" si="12"/>
        <v>0.5</v>
      </c>
      <c r="AJ30">
        <f t="shared" si="13"/>
        <v>0.79365079365079361</v>
      </c>
      <c r="AK30">
        <f t="shared" si="14"/>
        <v>5.4734537493158182E-3</v>
      </c>
      <c r="AM30">
        <f t="shared" si="15"/>
        <v>0</v>
      </c>
      <c r="AN30">
        <f t="shared" si="16"/>
        <v>0</v>
      </c>
      <c r="AO30">
        <f t="shared" si="17"/>
        <v>0</v>
      </c>
      <c r="AP30">
        <f t="shared" si="18"/>
        <v>0.58414734674559754</v>
      </c>
      <c r="AQ30">
        <f t="shared" si="19"/>
        <v>0.39429310344827589</v>
      </c>
    </row>
    <row r="31" spans="11:43" x14ac:dyDescent="0.2">
      <c r="K31" s="2">
        <v>5</v>
      </c>
      <c r="L31">
        <v>15</v>
      </c>
      <c r="M31">
        <v>28.917000000000002</v>
      </c>
      <c r="N31">
        <v>4.3695000000000004</v>
      </c>
      <c r="O31">
        <v>26.918500000000002</v>
      </c>
      <c r="P31">
        <v>4.3117999999999999</v>
      </c>
      <c r="Q31">
        <f>167/(250/250)</f>
        <v>167</v>
      </c>
      <c r="R31">
        <f t="shared" si="1"/>
        <v>112.64900662251657</v>
      </c>
      <c r="S31">
        <f t="shared" si="2"/>
        <v>17.02181534865602</v>
      </c>
      <c r="T31">
        <f t="shared" si="3"/>
        <v>104.8636540708999</v>
      </c>
      <c r="U31">
        <f t="shared" si="4"/>
        <v>16.797039345539542</v>
      </c>
      <c r="V31">
        <f t="shared" si="5"/>
        <v>1.0728476821192054</v>
      </c>
      <c r="W31">
        <f t="shared" si="5"/>
        <v>0.16211252713005733</v>
      </c>
      <c r="X31">
        <f t="shared" si="5"/>
        <v>0.99870146734190379</v>
      </c>
      <c r="Y31">
        <f t="shared" si="5"/>
        <v>0.15997180329085278</v>
      </c>
      <c r="Z31">
        <f t="shared" si="6"/>
        <v>7.9365079365079358</v>
      </c>
      <c r="AA31">
        <f t="shared" si="7"/>
        <v>23.809523809523807</v>
      </c>
      <c r="AB31">
        <f t="shared" si="8"/>
        <v>79.365079365079353</v>
      </c>
      <c r="AC31">
        <v>1E-3</v>
      </c>
      <c r="AE31">
        <f t="shared" si="9"/>
        <v>3.4482758620689659E-3</v>
      </c>
      <c r="AG31">
        <f t="shared" si="10"/>
        <v>2.1863658227294592E-3</v>
      </c>
      <c r="AH31">
        <f t="shared" si="11"/>
        <v>1.9021382657746293</v>
      </c>
      <c r="AI31">
        <f t="shared" si="12"/>
        <v>0.33333333333333331</v>
      </c>
      <c r="AJ31">
        <f t="shared" si="13"/>
        <v>0.79365079365079361</v>
      </c>
      <c r="AK31">
        <f t="shared" si="14"/>
        <v>8.2101806239737278E-3</v>
      </c>
      <c r="AM31">
        <f t="shared" si="15"/>
        <v>0</v>
      </c>
      <c r="AN31">
        <f t="shared" si="16"/>
        <v>0</v>
      </c>
      <c r="AO31">
        <f t="shared" si="17"/>
        <v>0</v>
      </c>
      <c r="AP31">
        <f t="shared" si="18"/>
        <v>0.36349265141851728</v>
      </c>
      <c r="AQ31">
        <f t="shared" si="19"/>
        <v>0.17524137931034484</v>
      </c>
    </row>
    <row r="32" spans="11:43" x14ac:dyDescent="0.2">
      <c r="K32">
        <v>5</v>
      </c>
      <c r="L32">
        <v>20</v>
      </c>
      <c r="M32">
        <v>23.453499999999998</v>
      </c>
      <c r="N32">
        <v>2.7972999999999999</v>
      </c>
      <c r="O32">
        <v>21.3964</v>
      </c>
      <c r="P32">
        <v>2.0996999999999999</v>
      </c>
      <c r="Q32">
        <f>70/(250/250)</f>
        <v>70</v>
      </c>
      <c r="R32">
        <f t="shared" si="1"/>
        <v>91.36540708998831</v>
      </c>
      <c r="S32">
        <f t="shared" si="2"/>
        <v>10.89715621347877</v>
      </c>
      <c r="T32">
        <f t="shared" si="3"/>
        <v>83.351772497078301</v>
      </c>
      <c r="U32">
        <f t="shared" si="4"/>
        <v>8.1795870666147259</v>
      </c>
      <c r="V32">
        <f t="shared" si="5"/>
        <v>0.87014673419036481</v>
      </c>
      <c r="W32">
        <f t="shared" si="5"/>
        <v>0.10378244012836924</v>
      </c>
      <c r="X32">
        <f t="shared" si="5"/>
        <v>0.79382640473407906</v>
      </c>
      <c r="Y32">
        <f t="shared" si="5"/>
        <v>7.7900829205854533E-2</v>
      </c>
      <c r="Z32">
        <f t="shared" si="6"/>
        <v>7.9365079365079358</v>
      </c>
      <c r="AA32">
        <f t="shared" si="7"/>
        <v>31.746031746031743</v>
      </c>
      <c r="AB32">
        <f t="shared" si="8"/>
        <v>79.365079365079353</v>
      </c>
      <c r="AC32">
        <v>1E-3</v>
      </c>
      <c r="AE32">
        <f t="shared" si="9"/>
        <v>3.4482758620689659E-3</v>
      </c>
      <c r="AG32">
        <f t="shared" si="10"/>
        <v>2.1863658227294592E-3</v>
      </c>
      <c r="AH32">
        <f t="shared" si="11"/>
        <v>2.5361843543661724</v>
      </c>
      <c r="AI32">
        <f t="shared" si="12"/>
        <v>0.25</v>
      </c>
      <c r="AJ32">
        <f t="shared" si="13"/>
        <v>0.79365079365079361</v>
      </c>
      <c r="AK32">
        <f t="shared" si="14"/>
        <v>1.0946907498631636E-2</v>
      </c>
      <c r="AM32">
        <f t="shared" si="15"/>
        <v>0</v>
      </c>
      <c r="AN32">
        <f t="shared" si="16"/>
        <v>0</v>
      </c>
      <c r="AO32">
        <f t="shared" si="17"/>
        <v>0</v>
      </c>
      <c r="AP32">
        <f t="shared" si="18"/>
        <v>0.25960754693884758</v>
      </c>
      <c r="AQ32">
        <f t="shared" si="19"/>
        <v>9.8573275862068974E-2</v>
      </c>
    </row>
    <row r="33" spans="2:43" x14ac:dyDescent="0.2">
      <c r="K33">
        <v>5</v>
      </c>
      <c r="L33">
        <v>25</v>
      </c>
      <c r="M33">
        <v>29.109500000000001</v>
      </c>
      <c r="N33">
        <v>2.0754000000000001</v>
      </c>
      <c r="O33">
        <v>24.835799999999999</v>
      </c>
      <c r="P33">
        <v>2.4468999999999999</v>
      </c>
      <c r="Q33">
        <v>155</v>
      </c>
      <c r="R33">
        <f t="shared" si="1"/>
        <v>113.39890923256721</v>
      </c>
      <c r="S33">
        <f t="shared" si="2"/>
        <v>8.0849240358395029</v>
      </c>
      <c r="T33">
        <f t="shared" si="3"/>
        <v>96.75029216984808</v>
      </c>
      <c r="U33">
        <f t="shared" si="4"/>
        <v>9.5321386832878847</v>
      </c>
      <c r="V33">
        <f t="shared" si="5"/>
        <v>1.0799896117387353</v>
      </c>
      <c r="W33">
        <f t="shared" si="5"/>
        <v>7.6999276531804786E-2</v>
      </c>
      <c r="X33">
        <f t="shared" si="5"/>
        <v>0.92143135399855314</v>
      </c>
      <c r="Y33">
        <f t="shared" si="5"/>
        <v>9.0782273174170328E-2</v>
      </c>
      <c r="Z33">
        <f t="shared" si="6"/>
        <v>7.9365079365079358</v>
      </c>
      <c r="AA33">
        <f t="shared" si="7"/>
        <v>39.682539682539677</v>
      </c>
      <c r="AB33">
        <f t="shared" si="8"/>
        <v>79.365079365079353</v>
      </c>
      <c r="AC33">
        <v>1E-3</v>
      </c>
      <c r="AE33">
        <f t="shared" si="9"/>
        <v>3.4482758620689659E-3</v>
      </c>
      <c r="AG33">
        <f t="shared" si="10"/>
        <v>2.1863658227294592E-3</v>
      </c>
      <c r="AH33">
        <f t="shared" si="11"/>
        <v>3.1702304429577151</v>
      </c>
      <c r="AI33">
        <f t="shared" si="12"/>
        <v>0.2</v>
      </c>
      <c r="AJ33">
        <f t="shared" si="13"/>
        <v>0.79365079365079361</v>
      </c>
      <c r="AK33">
        <f t="shared" si="14"/>
        <v>1.3683634373289545E-2</v>
      </c>
      <c r="AM33">
        <f t="shared" si="15"/>
        <v>0</v>
      </c>
      <c r="AN33">
        <f t="shared" si="16"/>
        <v>0</v>
      </c>
      <c r="AO33">
        <f t="shared" si="17"/>
        <v>0</v>
      </c>
      <c r="AP33">
        <f t="shared" si="18"/>
        <v>0.19995515187610419</v>
      </c>
      <c r="AQ33">
        <f t="shared" si="19"/>
        <v>6.3086896551724156E-2</v>
      </c>
    </row>
    <row r="34" spans="2:43" x14ac:dyDescent="0.2">
      <c r="K34">
        <v>5</v>
      </c>
      <c r="L34">
        <v>30</v>
      </c>
      <c r="M34">
        <v>19.7013</v>
      </c>
      <c r="N34">
        <v>0.47170000000000001</v>
      </c>
      <c r="O34">
        <v>17.626999999999999</v>
      </c>
      <c r="P34">
        <v>3.7393000000000001</v>
      </c>
      <c r="Q34">
        <f>125/(250/250)</f>
        <v>125</v>
      </c>
      <c r="R34">
        <f t="shared" si="1"/>
        <v>76.748344370860934</v>
      </c>
      <c r="S34">
        <f t="shared" si="2"/>
        <v>1.8375535644721466</v>
      </c>
      <c r="T34">
        <f t="shared" si="3"/>
        <v>68.667705492793147</v>
      </c>
      <c r="U34">
        <f t="shared" si="4"/>
        <v>14.566809505259059</v>
      </c>
      <c r="V34">
        <f t="shared" si="5"/>
        <v>0.73093661305581847</v>
      </c>
      <c r="W34">
        <f t="shared" si="5"/>
        <v>1.7500510137829967E-2</v>
      </c>
      <c r="X34">
        <f t="shared" si="5"/>
        <v>0.65397814755041095</v>
      </c>
      <c r="Y34">
        <f t="shared" si="5"/>
        <v>0.13873151909770531</v>
      </c>
      <c r="Z34">
        <f t="shared" si="6"/>
        <v>7.9365079365079358</v>
      </c>
      <c r="AA34">
        <f t="shared" si="7"/>
        <v>47.619047619047613</v>
      </c>
      <c r="AB34">
        <f t="shared" si="8"/>
        <v>79.365079365079353</v>
      </c>
      <c r="AC34">
        <v>1E-3</v>
      </c>
      <c r="AE34">
        <f t="shared" si="9"/>
        <v>3.4482758620689659E-3</v>
      </c>
      <c r="AG34">
        <f t="shared" si="10"/>
        <v>2.1863658227294592E-3</v>
      </c>
      <c r="AH34">
        <f t="shared" si="11"/>
        <v>3.8042765315492586</v>
      </c>
      <c r="AI34">
        <f t="shared" si="12"/>
        <v>0.16666666666666666</v>
      </c>
      <c r="AJ34">
        <f t="shared" si="13"/>
        <v>0.79365079365079361</v>
      </c>
      <c r="AK34">
        <f t="shared" si="14"/>
        <v>1.6420361247947456E-2</v>
      </c>
      <c r="AM34">
        <f t="shared" si="15"/>
        <v>0</v>
      </c>
      <c r="AN34">
        <f t="shared" si="16"/>
        <v>0</v>
      </c>
      <c r="AO34">
        <f t="shared" si="17"/>
        <v>0</v>
      </c>
      <c r="AP34">
        <f t="shared" si="18"/>
        <v>0.16154389143559023</v>
      </c>
      <c r="AQ34">
        <f t="shared" si="19"/>
        <v>4.3810344827586209E-2</v>
      </c>
    </row>
    <row r="35" spans="2:43" x14ac:dyDescent="0.2">
      <c r="K35">
        <v>5</v>
      </c>
      <c r="L35">
        <v>40</v>
      </c>
      <c r="M35">
        <v>17.356400000000001</v>
      </c>
      <c r="N35">
        <v>1.3473999999999999</v>
      </c>
      <c r="O35">
        <v>16.0182</v>
      </c>
      <c r="P35">
        <v>2.3243999999999998</v>
      </c>
      <c r="Q35">
        <f>76/(250/250)</f>
        <v>76</v>
      </c>
      <c r="R35">
        <f t="shared" si="1"/>
        <v>67.613556680950538</v>
      </c>
      <c r="S35">
        <f t="shared" si="2"/>
        <v>5.2489287105570703</v>
      </c>
      <c r="T35">
        <f t="shared" si="3"/>
        <v>62.400467471756919</v>
      </c>
      <c r="U35">
        <f t="shared" si="4"/>
        <v>9.0549279314374758</v>
      </c>
      <c r="V35">
        <f t="shared" si="5"/>
        <v>0.64393863505667182</v>
      </c>
      <c r="W35">
        <f t="shared" si="5"/>
        <v>4.998979724340067E-2</v>
      </c>
      <c r="X35">
        <f t="shared" si="5"/>
        <v>0.59429016639768495</v>
      </c>
      <c r="Y35">
        <f t="shared" si="5"/>
        <v>8.6237408870833102E-2</v>
      </c>
      <c r="Z35">
        <f t="shared" si="6"/>
        <v>7.9365079365079358</v>
      </c>
      <c r="AA35">
        <f t="shared" si="7"/>
        <v>63.492063492063487</v>
      </c>
      <c r="AB35">
        <f t="shared" si="8"/>
        <v>79.365079365079353</v>
      </c>
      <c r="AC35">
        <v>1E-3</v>
      </c>
      <c r="AE35">
        <f t="shared" si="9"/>
        <v>3.4482758620689659E-3</v>
      </c>
      <c r="AG35">
        <f t="shared" si="10"/>
        <v>2.1863658227294592E-3</v>
      </c>
      <c r="AH35">
        <f t="shared" si="11"/>
        <v>5.0723687087323448</v>
      </c>
      <c r="AI35">
        <f t="shared" si="12"/>
        <v>0.125</v>
      </c>
      <c r="AJ35">
        <f t="shared" si="13"/>
        <v>0.79365079365079361</v>
      </c>
      <c r="AK35">
        <f t="shared" si="14"/>
        <v>2.1893814997263273E-2</v>
      </c>
      <c r="AM35">
        <f t="shared" si="15"/>
        <v>0</v>
      </c>
      <c r="AN35">
        <f t="shared" si="16"/>
        <v>0</v>
      </c>
      <c r="AO35">
        <f t="shared" si="17"/>
        <v>0</v>
      </c>
      <c r="AP35">
        <f t="shared" si="18"/>
        <v>0.11537513403610075</v>
      </c>
      <c r="AQ35">
        <f t="shared" si="19"/>
        <v>2.4643318965517243E-2</v>
      </c>
    </row>
    <row r="36" spans="2:43" x14ac:dyDescent="0.2">
      <c r="K36">
        <v>5</v>
      </c>
      <c r="L36">
        <v>50</v>
      </c>
      <c r="M36">
        <v>17.107500000000002</v>
      </c>
      <c r="N36">
        <v>1.4236</v>
      </c>
      <c r="O36">
        <v>15.4368</v>
      </c>
      <c r="P36">
        <v>1.4026000000000001</v>
      </c>
      <c r="Q36">
        <f>112/(250/250)</f>
        <v>112</v>
      </c>
      <c r="R36">
        <f t="shared" si="1"/>
        <v>66.643942345149995</v>
      </c>
      <c r="S36">
        <f t="shared" si="2"/>
        <v>5.5457732761978971</v>
      </c>
      <c r="T36">
        <f t="shared" si="3"/>
        <v>60.135566809505264</v>
      </c>
      <c r="U36">
        <f t="shared" si="4"/>
        <v>5.4639657187378265</v>
      </c>
      <c r="V36">
        <f t="shared" si="5"/>
        <v>0.63470421281095235</v>
      </c>
      <c r="W36">
        <f t="shared" si="5"/>
        <v>5.281688834474188E-2</v>
      </c>
      <c r="X36">
        <f t="shared" si="5"/>
        <v>0.57271968390005012</v>
      </c>
      <c r="Y36">
        <f t="shared" si="5"/>
        <v>5.2037768749884063E-2</v>
      </c>
      <c r="Z36">
        <f t="shared" si="6"/>
        <v>7.9365079365079358</v>
      </c>
      <c r="AA36">
        <f t="shared" si="7"/>
        <v>79.365079365079353</v>
      </c>
      <c r="AB36">
        <f t="shared" si="8"/>
        <v>79.365079365079353</v>
      </c>
      <c r="AC36">
        <v>1E-3</v>
      </c>
      <c r="AE36">
        <f t="shared" si="9"/>
        <v>3.4482758620689659E-3</v>
      </c>
      <c r="AG36">
        <f t="shared" si="10"/>
        <v>2.1863658227294592E-3</v>
      </c>
      <c r="AH36">
        <f t="shared" si="11"/>
        <v>6.3404608859154301</v>
      </c>
      <c r="AI36">
        <f t="shared" si="12"/>
        <v>0.1</v>
      </c>
      <c r="AJ36">
        <f t="shared" si="13"/>
        <v>0.79365079365079361</v>
      </c>
      <c r="AK36">
        <f t="shared" si="14"/>
        <v>2.736726874657909E-2</v>
      </c>
      <c r="AM36">
        <f t="shared" si="15"/>
        <v>0</v>
      </c>
      <c r="AN36">
        <f t="shared" si="16"/>
        <v>0</v>
      </c>
      <c r="AO36">
        <f t="shared" si="17"/>
        <v>0</v>
      </c>
      <c r="AP36">
        <f t="shared" si="18"/>
        <v>8.8864336653312601E-2</v>
      </c>
      <c r="AQ36">
        <f t="shared" si="19"/>
        <v>1.5771724137931039E-2</v>
      </c>
    </row>
    <row r="37" spans="2:43" x14ac:dyDescent="0.2">
      <c r="B37" s="3" t="s">
        <v>28</v>
      </c>
      <c r="D37" s="3" t="s">
        <v>35</v>
      </c>
      <c r="E37" s="3"/>
      <c r="K37">
        <v>5</v>
      </c>
      <c r="L37">
        <v>60</v>
      </c>
      <c r="M37">
        <v>22.831800000000001</v>
      </c>
      <c r="N37">
        <v>3.5121000000000002</v>
      </c>
      <c r="O37">
        <v>13.177899999999999</v>
      </c>
      <c r="P37">
        <v>0.87970000000000004</v>
      </c>
      <c r="Q37">
        <f>106/(250/250)</f>
        <v>106</v>
      </c>
      <c r="R37">
        <f t="shared" ref="R37:R39" si="20">M37/0.2567</f>
        <v>88.943513829372819</v>
      </c>
      <c r="S37">
        <f t="shared" si="2"/>
        <v>13.681729645500585</v>
      </c>
      <c r="T37">
        <f t="shared" si="3"/>
        <v>51.335800545383719</v>
      </c>
      <c r="U37">
        <f t="shared" si="4"/>
        <v>3.4269575379820805</v>
      </c>
      <c r="V37">
        <f t="shared" ref="V37:V39" si="21">R37/$J$4</f>
        <v>0.84708108408926497</v>
      </c>
      <c r="W37">
        <f t="shared" ref="W37:W39" si="22">S37/$J$4</f>
        <v>0.13030218710000557</v>
      </c>
      <c r="X37">
        <f t="shared" ref="X37:X39" si="23">T37/$J$4</f>
        <v>0.48891238614651161</v>
      </c>
      <c r="Y37">
        <f t="shared" ref="Y37:Y39" si="24">U37/$J$4</f>
        <v>3.2637690837924574E-2</v>
      </c>
      <c r="Z37">
        <f t="shared" ref="Z37:Z39" si="25">K37/($I$4/1000*$J$4/1000)/60</f>
        <v>7.9365079365079358</v>
      </c>
      <c r="AA37">
        <f t="shared" ref="AA37:AA39" si="26">L37/($I$4/1000*$J$4/1000)/60</f>
        <v>95.238095238095227</v>
      </c>
      <c r="AB37">
        <f t="shared" ref="AB37:AB39" si="27">Z37/($I$4/1000)</f>
        <v>79.365079365079353</v>
      </c>
      <c r="AC37">
        <v>1E-3</v>
      </c>
      <c r="AE37">
        <f t="shared" si="9"/>
        <v>3.4482758620689659E-3</v>
      </c>
      <c r="AG37">
        <f t="shared" ref="AG37:AG39" si="28">AC37*(Z37/1000)/($AF$4/1000)</f>
        <v>2.1863658227294592E-3</v>
      </c>
      <c r="AH37">
        <f t="shared" si="11"/>
        <v>7.6085530630985172</v>
      </c>
      <c r="AI37">
        <f t="shared" ref="AI37:AI39" si="29">K37/L37</f>
        <v>8.3333333333333329E-2</v>
      </c>
      <c r="AJ37">
        <f t="shared" ref="AJ37:AJ39" si="30">1000*(Z37/1000)*($I$4/10^6)/AC37</f>
        <v>0.79365079365079361</v>
      </c>
      <c r="AK37">
        <f t="shared" ref="AK37:AK39" si="31">1000*(AA37/1000)*($I$4/10^6)/$AD$4</f>
        <v>3.2840722495894911E-2</v>
      </c>
      <c r="AM37">
        <f t="shared" ref="AM37:AM39" si="32">$AL$4*AB37</f>
        <v>0</v>
      </c>
      <c r="AN37">
        <f t="shared" ref="AN37:AN39" si="33">AM37/AJ37</f>
        <v>0</v>
      </c>
      <c r="AO37">
        <f t="shared" si="17"/>
        <v>0</v>
      </c>
      <c r="AP37">
        <f t="shared" si="18"/>
        <v>7.1793552794845686E-2</v>
      </c>
      <c r="AQ37">
        <f t="shared" si="19"/>
        <v>1.0952586206896552E-2</v>
      </c>
    </row>
    <row r="38" spans="2:43" x14ac:dyDescent="0.2">
      <c r="B38" s="3"/>
      <c r="D38">
        <v>3.63</v>
      </c>
      <c r="K38">
        <v>5</v>
      </c>
      <c r="L38">
        <v>70</v>
      </c>
      <c r="M38">
        <v>23.276299999999999</v>
      </c>
      <c r="N38">
        <v>2.1055999999999999</v>
      </c>
      <c r="O38">
        <v>12.1343</v>
      </c>
      <c r="P38">
        <v>0.67710000000000004</v>
      </c>
      <c r="Q38">
        <f>152/(250/250)</f>
        <v>152</v>
      </c>
      <c r="R38">
        <f t="shared" si="20"/>
        <v>90.67510712894429</v>
      </c>
      <c r="S38">
        <f t="shared" si="2"/>
        <v>8.2025710946630301</v>
      </c>
      <c r="T38">
        <f t="shared" si="3"/>
        <v>47.27035449941566</v>
      </c>
      <c r="U38">
        <f t="shared" si="4"/>
        <v>2.6377093883911185</v>
      </c>
      <c r="V38">
        <f t="shared" si="21"/>
        <v>0.8635724488470885</v>
      </c>
      <c r="W38">
        <f t="shared" si="22"/>
        <v>7.8119724711076477E-2</v>
      </c>
      <c r="X38">
        <f t="shared" si="23"/>
        <v>0.45019385237538723</v>
      </c>
      <c r="Y38">
        <f t="shared" si="24"/>
        <v>2.5121041794201129E-2</v>
      </c>
      <c r="Z38">
        <f t="shared" si="25"/>
        <v>7.9365079365079358</v>
      </c>
      <c r="AA38">
        <f t="shared" si="26"/>
        <v>111.1111111111111</v>
      </c>
      <c r="AB38">
        <f t="shared" si="27"/>
        <v>79.365079365079353</v>
      </c>
      <c r="AC38">
        <v>1E-3</v>
      </c>
      <c r="AE38">
        <f t="shared" si="9"/>
        <v>3.4482758620689659E-3</v>
      </c>
      <c r="AG38">
        <f t="shared" si="28"/>
        <v>2.1863658227294592E-3</v>
      </c>
      <c r="AH38">
        <f t="shared" si="11"/>
        <v>8.8766452402816043</v>
      </c>
      <c r="AI38">
        <f t="shared" si="29"/>
        <v>7.1428571428571425E-2</v>
      </c>
      <c r="AJ38">
        <f t="shared" si="30"/>
        <v>0.79365079365079361</v>
      </c>
      <c r="AK38">
        <f t="shared" si="31"/>
        <v>3.8314176245210725E-2</v>
      </c>
      <c r="AM38">
        <f t="shared" si="32"/>
        <v>0</v>
      </c>
      <c r="AN38">
        <f t="shared" si="33"/>
        <v>0</v>
      </c>
      <c r="AO38">
        <f t="shared" si="17"/>
        <v>0</v>
      </c>
      <c r="AP38">
        <f t="shared" si="18"/>
        <v>5.9945653854930177E-2</v>
      </c>
      <c r="AQ38">
        <f t="shared" si="19"/>
        <v>8.0467980295566496E-3</v>
      </c>
    </row>
    <row r="39" spans="2:43" x14ac:dyDescent="0.2">
      <c r="K39">
        <v>5</v>
      </c>
      <c r="L39">
        <v>80</v>
      </c>
      <c r="M39">
        <v>21.546299999999999</v>
      </c>
      <c r="N39">
        <v>1.9185000000000001</v>
      </c>
      <c r="O39">
        <v>11.08</v>
      </c>
      <c r="P39">
        <v>0.99099999999999999</v>
      </c>
      <c r="Q39">
        <f>80/(250/250)</f>
        <v>80</v>
      </c>
      <c r="R39">
        <f t="shared" si="20"/>
        <v>83.935722633424234</v>
      </c>
      <c r="S39">
        <f t="shared" si="2"/>
        <v>7.4737047136735502</v>
      </c>
      <c r="T39">
        <f t="shared" si="3"/>
        <v>43.163225555122715</v>
      </c>
      <c r="U39">
        <f t="shared" si="4"/>
        <v>3.8605375925204521</v>
      </c>
      <c r="V39">
        <f t="shared" si="21"/>
        <v>0.79938783460404028</v>
      </c>
      <c r="W39">
        <f t="shared" si="22"/>
        <v>7.1178140130224291E-2</v>
      </c>
      <c r="X39">
        <f t="shared" si="23"/>
        <v>0.41107833862021631</v>
      </c>
      <c r="Y39">
        <f t="shared" si="24"/>
        <v>3.6767024690670974E-2</v>
      </c>
      <c r="Z39">
        <f t="shared" si="25"/>
        <v>7.9365079365079358</v>
      </c>
      <c r="AA39">
        <f t="shared" si="26"/>
        <v>126.98412698412697</v>
      </c>
      <c r="AB39">
        <f t="shared" si="27"/>
        <v>79.365079365079353</v>
      </c>
      <c r="AC39">
        <v>1E-3</v>
      </c>
      <c r="AE39">
        <f t="shared" si="9"/>
        <v>3.4482758620689659E-3</v>
      </c>
      <c r="AG39">
        <f t="shared" si="28"/>
        <v>2.1863658227294592E-3</v>
      </c>
      <c r="AH39">
        <f t="shared" si="11"/>
        <v>10.14473741746469</v>
      </c>
      <c r="AI39">
        <f t="shared" si="29"/>
        <v>6.25E-2</v>
      </c>
      <c r="AJ39">
        <f t="shared" si="30"/>
        <v>0.79365079365079361</v>
      </c>
      <c r="AK39">
        <f t="shared" si="31"/>
        <v>4.3787629994526546E-2</v>
      </c>
      <c r="AM39">
        <f t="shared" si="32"/>
        <v>0</v>
      </c>
      <c r="AN39">
        <f t="shared" si="33"/>
        <v>0</v>
      </c>
      <c r="AO39">
        <f t="shared" si="17"/>
        <v>0</v>
      </c>
      <c r="AP39">
        <f t="shared" si="18"/>
        <v>5.1275171738300089E-2</v>
      </c>
      <c r="AQ39">
        <f t="shared" si="19"/>
        <v>6.1608297413793109E-3</v>
      </c>
    </row>
    <row r="40" spans="2:43" x14ac:dyDescent="0.2">
      <c r="K40">
        <v>5</v>
      </c>
      <c r="L40">
        <v>90</v>
      </c>
      <c r="R40">
        <f t="shared" ref="R40:R42" si="34">M40/0.2567</f>
        <v>0</v>
      </c>
      <c r="S40">
        <f t="shared" si="2"/>
        <v>0</v>
      </c>
      <c r="T40">
        <f t="shared" si="3"/>
        <v>0</v>
      </c>
      <c r="U40">
        <f t="shared" si="4"/>
        <v>0</v>
      </c>
      <c r="V40">
        <f t="shared" ref="V40:V42" si="35">R40/$J$4</f>
        <v>0</v>
      </c>
      <c r="W40">
        <f t="shared" ref="W40:W42" si="36">S40/$J$4</f>
        <v>0</v>
      </c>
      <c r="X40">
        <f t="shared" ref="X40:X42" si="37">T40/$J$4</f>
        <v>0</v>
      </c>
      <c r="Y40">
        <f t="shared" ref="Y40:Y42" si="38">U40/$J$4</f>
        <v>0</v>
      </c>
      <c r="Z40">
        <f t="shared" ref="Z40:Z42" si="39">K40/($I$4/1000*$J$4/1000)/60</f>
        <v>7.9365079365079358</v>
      </c>
      <c r="AA40">
        <f t="shared" ref="AA40:AA42" si="40">L40/($I$4/1000*$J$4/1000)/60</f>
        <v>142.85714285714283</v>
      </c>
      <c r="AB40">
        <f t="shared" ref="AB40:AB42" si="41">Z40/($I$4/1000)</f>
        <v>79.365079365079353</v>
      </c>
      <c r="AC40">
        <v>1E-3</v>
      </c>
      <c r="AE40">
        <f t="shared" si="9"/>
        <v>3.4482758620689659E-3</v>
      </c>
      <c r="AG40">
        <f t="shared" ref="AG40:AG42" si="42">AC40*(Z40/1000)/($AF$4/1000)</f>
        <v>2.1863658227294592E-3</v>
      </c>
      <c r="AH40">
        <f t="shared" si="11"/>
        <v>11.412829594647773</v>
      </c>
      <c r="AI40">
        <f t="shared" ref="AI40:AI42" si="43">K40/L40</f>
        <v>5.5555555555555552E-2</v>
      </c>
      <c r="AJ40">
        <f t="shared" ref="AJ40:AJ42" si="44">1000*(Z40/1000)*($I$4/10^6)/AC40</f>
        <v>0.79365079365079361</v>
      </c>
      <c r="AK40">
        <f t="shared" ref="AK40:AK42" si="45">1000*(AA40/1000)*($I$4/10^6)/$AD$4</f>
        <v>4.926108374384236E-2</v>
      </c>
      <c r="AM40">
        <f t="shared" ref="AM40:AM42" si="46">$AL$4*AB40</f>
        <v>0</v>
      </c>
      <c r="AN40">
        <f t="shared" ref="AN40:AN42" si="47">AM40/AJ40</f>
        <v>0</v>
      </c>
      <c r="AO40">
        <f t="shared" si="17"/>
        <v>0</v>
      </c>
      <c r="AP40">
        <f t="shared" si="18"/>
        <v>4.4674394235533585E-2</v>
      </c>
      <c r="AQ40">
        <f t="shared" si="19"/>
        <v>4.8678160919540239E-3</v>
      </c>
    </row>
    <row r="41" spans="2:43" x14ac:dyDescent="0.2">
      <c r="K41" s="2">
        <v>60</v>
      </c>
      <c r="L41">
        <v>60</v>
      </c>
      <c r="M41">
        <v>25.142859999999999</v>
      </c>
      <c r="N41">
        <v>4.7409059999999998</v>
      </c>
      <c r="O41">
        <v>19.857140000000001</v>
      </c>
      <c r="P41">
        <v>3.3380920000000001</v>
      </c>
      <c r="Q41">
        <f>252/(250/2000)</f>
        <v>2016</v>
      </c>
      <c r="R41">
        <f t="shared" si="34"/>
        <v>97.946474483833271</v>
      </c>
      <c r="S41">
        <f t="shared" si="2"/>
        <v>18.468663809894821</v>
      </c>
      <c r="T41">
        <f t="shared" si="3"/>
        <v>77.35543435917414</v>
      </c>
      <c r="U41">
        <f t="shared" si="4"/>
        <v>13.003864433190495</v>
      </c>
      <c r="V41">
        <f t="shared" si="35"/>
        <v>0.93282356651269782</v>
      </c>
      <c r="W41">
        <f t="shared" si="36"/>
        <v>0.17589203628471259</v>
      </c>
      <c r="X41">
        <f t="shared" si="37"/>
        <v>0.7367184224683252</v>
      </c>
      <c r="Y41">
        <f t="shared" si="38"/>
        <v>0.12384632793514758</v>
      </c>
      <c r="Z41">
        <f t="shared" si="39"/>
        <v>95.238095238095227</v>
      </c>
      <c r="AA41">
        <f t="shared" si="40"/>
        <v>95.238095238095227</v>
      </c>
      <c r="AB41">
        <f t="shared" si="41"/>
        <v>952.38095238095218</v>
      </c>
      <c r="AC41">
        <v>1E-3</v>
      </c>
      <c r="AE41">
        <f t="shared" si="9"/>
        <v>3.4482758620689659E-3</v>
      </c>
      <c r="AG41">
        <f t="shared" si="42"/>
        <v>2.6236389872753511E-2</v>
      </c>
      <c r="AH41">
        <f t="shared" si="11"/>
        <v>7.6085530630985172</v>
      </c>
      <c r="AI41">
        <f t="shared" si="43"/>
        <v>1</v>
      </c>
      <c r="AJ41">
        <f t="shared" si="44"/>
        <v>9.5238095238095219</v>
      </c>
      <c r="AK41">
        <f t="shared" si="45"/>
        <v>3.2840722495894911E-2</v>
      </c>
      <c r="AM41">
        <f t="shared" si="46"/>
        <v>0</v>
      </c>
      <c r="AN41">
        <f t="shared" si="47"/>
        <v>0</v>
      </c>
      <c r="AO41">
        <f t="shared" si="17"/>
        <v>0</v>
      </c>
      <c r="AP41">
        <f t="shared" si="18"/>
        <v>0.29595028035985188</v>
      </c>
      <c r="AQ41">
        <f t="shared" si="19"/>
        <v>0.13143103448275864</v>
      </c>
    </row>
    <row r="42" spans="2:43" x14ac:dyDescent="0.2">
      <c r="K42">
        <v>60</v>
      </c>
      <c r="L42">
        <v>80</v>
      </c>
      <c r="M42">
        <v>78.083330000000004</v>
      </c>
      <c r="N42">
        <v>35.737569999999998</v>
      </c>
      <c r="O42">
        <v>54.5</v>
      </c>
      <c r="P42">
        <v>8.5758650000000003</v>
      </c>
      <c r="Q42">
        <f>35/(250/2000)</f>
        <v>280</v>
      </c>
      <c r="R42">
        <f t="shared" si="34"/>
        <v>304.18126217374368</v>
      </c>
      <c r="S42">
        <f t="shared" si="2"/>
        <v>139.21920529801324</v>
      </c>
      <c r="T42">
        <f t="shared" si="3"/>
        <v>212.31008959875342</v>
      </c>
      <c r="U42">
        <f t="shared" si="4"/>
        <v>33.408122321776396</v>
      </c>
      <c r="V42">
        <f t="shared" si="35"/>
        <v>2.8969644016547016</v>
      </c>
      <c r="W42">
        <f t="shared" si="36"/>
        <v>1.3258971933144117</v>
      </c>
      <c r="X42">
        <f t="shared" si="37"/>
        <v>2.0220008533214613</v>
      </c>
      <c r="Y42">
        <f t="shared" si="38"/>
        <v>0.31817259354072758</v>
      </c>
      <c r="Z42">
        <f t="shared" si="39"/>
        <v>95.238095238095227</v>
      </c>
      <c r="AA42">
        <f t="shared" si="40"/>
        <v>126.98412698412697</v>
      </c>
      <c r="AB42">
        <f t="shared" si="41"/>
        <v>952.38095238095218</v>
      </c>
      <c r="AC42">
        <v>1E-3</v>
      </c>
      <c r="AE42">
        <f t="shared" si="9"/>
        <v>3.4482758620689659E-3</v>
      </c>
      <c r="AG42">
        <f t="shared" si="42"/>
        <v>2.6236389872753511E-2</v>
      </c>
      <c r="AH42">
        <f t="shared" si="11"/>
        <v>10.14473741746469</v>
      </c>
      <c r="AI42">
        <f t="shared" si="43"/>
        <v>0.75</v>
      </c>
      <c r="AJ42">
        <f t="shared" si="44"/>
        <v>9.5238095238095219</v>
      </c>
      <c r="AK42">
        <f t="shared" si="45"/>
        <v>4.3787629994526546E-2</v>
      </c>
      <c r="AM42">
        <f t="shared" si="46"/>
        <v>0</v>
      </c>
      <c r="AN42">
        <f t="shared" si="47"/>
        <v>0</v>
      </c>
      <c r="AO42">
        <f t="shared" si="17"/>
        <v>0</v>
      </c>
      <c r="AP42">
        <f t="shared" si="18"/>
        <v>0.21136858200641834</v>
      </c>
      <c r="AQ42">
        <f t="shared" si="19"/>
        <v>7.3929956896551727E-2</v>
      </c>
    </row>
  </sheetData>
  <mergeCells count="1">
    <mergeCell ref="B2:G2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A781C-1508-9F40-909F-0759DA8E3758}">
  <dimension ref="B2:AS40"/>
  <sheetViews>
    <sheetView topLeftCell="AB1" workbookViewId="0">
      <selection activeCell="AS4" sqref="AS4:AS40"/>
    </sheetView>
  </sheetViews>
  <sheetFormatPr baseColWidth="10" defaultRowHeight="16" x14ac:dyDescent="0.2"/>
  <cols>
    <col min="2" max="2" width="26.33203125" customWidth="1"/>
    <col min="9" max="9" width="16.5" bestFit="1" customWidth="1"/>
    <col min="16" max="16" width="11.6640625" bestFit="1" customWidth="1"/>
    <col min="17" max="17" width="13.1640625" bestFit="1" customWidth="1"/>
    <col min="25" max="25" width="11.1640625" bestFit="1" customWidth="1"/>
    <col min="28" max="28" width="16.33203125" customWidth="1"/>
    <col min="31" max="31" width="19.33203125" customWidth="1"/>
    <col min="32" max="32" width="23" bestFit="1" customWidth="1"/>
    <col min="41" max="41" width="23.1640625" bestFit="1" customWidth="1"/>
    <col min="42" max="42" width="34.1640625" customWidth="1"/>
    <col min="43" max="43" width="16" bestFit="1" customWidth="1"/>
    <col min="44" max="44" width="21.6640625" bestFit="1" customWidth="1"/>
  </cols>
  <sheetData>
    <row r="2" spans="2:45" x14ac:dyDescent="0.2">
      <c r="B2" s="8" t="s">
        <v>12</v>
      </c>
      <c r="C2" s="8"/>
      <c r="D2" s="8"/>
      <c r="E2" s="8"/>
      <c r="F2" s="8"/>
      <c r="G2" s="8"/>
    </row>
    <row r="3" spans="2:45" x14ac:dyDescent="0.2"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I3" t="s">
        <v>19</v>
      </c>
      <c r="J3" t="s">
        <v>13</v>
      </c>
      <c r="K3" t="s">
        <v>14</v>
      </c>
      <c r="L3" t="s">
        <v>15</v>
      </c>
      <c r="M3" t="s">
        <v>16</v>
      </c>
      <c r="N3" t="s">
        <v>20</v>
      </c>
      <c r="O3" t="s">
        <v>17</v>
      </c>
      <c r="P3" t="s">
        <v>21</v>
      </c>
      <c r="Q3" t="s">
        <v>27</v>
      </c>
      <c r="R3" t="s">
        <v>18</v>
      </c>
      <c r="S3" t="s">
        <v>22</v>
      </c>
      <c r="T3" t="s">
        <v>23</v>
      </c>
      <c r="U3" t="s">
        <v>24</v>
      </c>
      <c r="V3" s="4" t="s">
        <v>25</v>
      </c>
      <c r="W3" s="4" t="s">
        <v>26</v>
      </c>
      <c r="X3" s="4" t="s">
        <v>38</v>
      </c>
      <c r="Y3" s="4" t="s">
        <v>39</v>
      </c>
      <c r="Z3" t="s">
        <v>32</v>
      </c>
      <c r="AA3" t="s">
        <v>33</v>
      </c>
      <c r="AB3" t="s">
        <v>31</v>
      </c>
      <c r="AC3" t="s">
        <v>29</v>
      </c>
      <c r="AD3" t="s">
        <v>30</v>
      </c>
      <c r="AE3" s="4" t="s">
        <v>34</v>
      </c>
      <c r="AF3" t="s">
        <v>35</v>
      </c>
      <c r="AG3" s="4" t="s">
        <v>37</v>
      </c>
      <c r="AH3" s="4" t="s">
        <v>36</v>
      </c>
      <c r="AI3" s="4" t="s">
        <v>40</v>
      </c>
      <c r="AJ3" s="4" t="s">
        <v>41</v>
      </c>
      <c r="AK3" s="4" t="s">
        <v>42</v>
      </c>
      <c r="AL3" t="s">
        <v>45</v>
      </c>
      <c r="AM3" s="4" t="s">
        <v>43</v>
      </c>
      <c r="AN3" s="4" t="s">
        <v>44</v>
      </c>
      <c r="AO3" s="4" t="s">
        <v>57</v>
      </c>
      <c r="AP3" s="4" t="s">
        <v>58</v>
      </c>
      <c r="AQ3" s="4" t="s">
        <v>59</v>
      </c>
      <c r="AR3" s="4" t="s">
        <v>60</v>
      </c>
      <c r="AS3" s="4" t="s">
        <v>61</v>
      </c>
    </row>
    <row r="4" spans="2:45" x14ac:dyDescent="0.2">
      <c r="I4">
        <v>100</v>
      </c>
      <c r="J4">
        <v>105</v>
      </c>
      <c r="K4">
        <v>10</v>
      </c>
      <c r="L4">
        <v>100</v>
      </c>
      <c r="M4">
        <v>19.4619</v>
      </c>
      <c r="N4">
        <v>2.6918000000000002</v>
      </c>
      <c r="O4">
        <v>17.968900000000001</v>
      </c>
      <c r="P4">
        <v>2.8841000000000001</v>
      </c>
      <c r="Q4">
        <v>364</v>
      </c>
      <c r="R4">
        <f>M4/0.2567</f>
        <v>75.815738215816125</v>
      </c>
      <c r="S4">
        <f t="shared" ref="S4:U4" si="0">N4/0.2567</f>
        <v>10.486170627191274</v>
      </c>
      <c r="T4">
        <f t="shared" si="0"/>
        <v>69.999610440202588</v>
      </c>
      <c r="U4">
        <f t="shared" si="0"/>
        <v>11.23529411764706</v>
      </c>
      <c r="V4">
        <f>R4/$J$4</f>
        <v>0.72205464967443933</v>
      </c>
      <c r="W4">
        <f>S4/$J$4</f>
        <v>9.9868291687535943E-2</v>
      </c>
      <c r="X4">
        <f>T4/$J$4</f>
        <v>0.66666295657335795</v>
      </c>
      <c r="Y4">
        <f>U4/$J$4</f>
        <v>0.10700280112044819</v>
      </c>
      <c r="Z4">
        <f>K4/($I$4/1000*$J$4/1000)/60</f>
        <v>15.873015873015872</v>
      </c>
      <c r="AA4">
        <f>L4/($I$4/1000*$J$4/1000)/60</f>
        <v>158.73015873015871</v>
      </c>
      <c r="AB4">
        <f>Z4/($I$4/1000)</f>
        <v>158.73015873015871</v>
      </c>
      <c r="AC4">
        <f>0.0027/(1+0.00033*AB4^0.395)</f>
        <v>2.6934222272908385E-3</v>
      </c>
      <c r="AD4">
        <v>0.28999999999999998</v>
      </c>
      <c r="AE4">
        <f>AC4/$AD$4</f>
        <v>9.28766285272703E-3</v>
      </c>
      <c r="AF4">
        <v>3.63</v>
      </c>
      <c r="AG4">
        <f>AC4*(Z4/1000)/($AF$4/1000)</f>
        <v>1.1777612607857093E-2</v>
      </c>
      <c r="AH4">
        <f>$AD$4*(AA4/1000)/($AF$4/1000)</f>
        <v>12.68092177183086</v>
      </c>
      <c r="AI4">
        <f>K4/L4</f>
        <v>0.1</v>
      </c>
      <c r="AJ4">
        <f>1000*(Z4/1000)*($I$4/10^6)/AC4</f>
        <v>0.58932519796503069</v>
      </c>
      <c r="AK4">
        <f>1000*(AA4/1000)*($I$4/10^6)/$AD$4</f>
        <v>5.4734537493158181E-2</v>
      </c>
      <c r="AL4">
        <v>3.3E-4</v>
      </c>
      <c r="AM4">
        <f>$AL$4*AB4</f>
        <v>5.2380952380952375E-2</v>
      </c>
      <c r="AN4">
        <f>AM4/AJ4</f>
        <v>8.8882933500597658E-2</v>
      </c>
      <c r="AO4">
        <f>AH4^(-0.6)*AI4^0.57*AM4^0.45</f>
        <v>1.5550255589721059E-2</v>
      </c>
      <c r="AP4">
        <f>AH4^(-0.6)*AI4^0.57</f>
        <v>5.8628597599815827E-2</v>
      </c>
      <c r="AQ4">
        <f>(AI4*AM4/AH4)^0.6</f>
        <v>9.3242420772777761E-3</v>
      </c>
      <c r="AR4">
        <f>(AI4/AH4)^(0.6)*AM4^(0.45)</f>
        <v>1.4512342907599623E-2</v>
      </c>
      <c r="AS4">
        <f>AI4/AH4</f>
        <v>7.8858620689655195E-3</v>
      </c>
    </row>
    <row r="5" spans="2:45" x14ac:dyDescent="0.2">
      <c r="B5" t="s">
        <v>6</v>
      </c>
      <c r="C5" t="s">
        <v>7</v>
      </c>
      <c r="D5" t="s">
        <v>8</v>
      </c>
      <c r="E5" t="s">
        <v>9</v>
      </c>
      <c r="F5" t="s">
        <v>10</v>
      </c>
      <c r="K5">
        <v>10</v>
      </c>
      <c r="L5">
        <v>100</v>
      </c>
      <c r="M5">
        <v>31.031099999999999</v>
      </c>
      <c r="N5">
        <v>0.20549999999999999</v>
      </c>
      <c r="O5">
        <v>30.364799999999999</v>
      </c>
      <c r="P5">
        <v>0.21479999999999999</v>
      </c>
      <c r="Q5">
        <f>46/(250/1000)</f>
        <v>184</v>
      </c>
      <c r="R5">
        <f t="shared" ref="R5:R37" si="1">M5/0.2567</f>
        <v>120.88469029996105</v>
      </c>
      <c r="S5">
        <f t="shared" ref="S5:S37" si="2">N5/0.2567</f>
        <v>0.80054538371640049</v>
      </c>
      <c r="T5">
        <f t="shared" ref="T5:T37" si="3">O5/0.2567</f>
        <v>118.28905336969225</v>
      </c>
      <c r="U5">
        <f t="shared" ref="U5:U37" si="4">P5/0.2567</f>
        <v>0.83677444487728869</v>
      </c>
      <c r="V5">
        <f t="shared" ref="V5:V37" si="5">R5/$J$4</f>
        <v>1.1512827647615338</v>
      </c>
      <c r="W5">
        <f t="shared" ref="W5:W37" si="6">S5/$J$4</f>
        <v>7.6242417496800051E-3</v>
      </c>
      <c r="X5">
        <f t="shared" ref="X5:X37" si="7">T5/$J$4</f>
        <v>1.1265624130446881</v>
      </c>
      <c r="Y5">
        <f t="shared" ref="Y5:Y37" si="8">U5/$J$4</f>
        <v>7.9692804274027491E-3</v>
      </c>
      <c r="Z5">
        <f t="shared" ref="Z5:Z37" si="9">K5/($I$4/1000*$J$4/1000)/60</f>
        <v>15.873015873015872</v>
      </c>
      <c r="AA5">
        <f t="shared" ref="AA5:AA37" si="10">L5/($I$4/1000*$J$4/1000)/60</f>
        <v>158.73015873015871</v>
      </c>
      <c r="AB5">
        <f t="shared" ref="AB5:AB37" si="11">Z5/($I$4/1000)</f>
        <v>158.73015873015871</v>
      </c>
      <c r="AC5">
        <f t="shared" ref="AC5:AC40" si="12">0.0027/(1+0.00033*AB5^0.395)</f>
        <v>2.6934222272908385E-3</v>
      </c>
      <c r="AE5">
        <f t="shared" ref="AE5:AE37" si="13">AC5/$AD$4</f>
        <v>9.28766285272703E-3</v>
      </c>
      <c r="AG5">
        <f t="shared" ref="AG5:AG37" si="14">AC5*(Z5/1000)/($AF$4/1000)</f>
        <v>1.1777612607857093E-2</v>
      </c>
      <c r="AH5">
        <f t="shared" ref="AH5:AH40" si="15">$AD$4*(AA5/1000)/($AF$4/1000)</f>
        <v>12.68092177183086</v>
      </c>
      <c r="AI5">
        <f t="shared" ref="AI5:AI37" si="16">K5/L5</f>
        <v>0.1</v>
      </c>
      <c r="AJ5">
        <f t="shared" ref="AJ5:AJ37" si="17">1000*(Z5/1000)*($I$4/10^6)/AC5</f>
        <v>0.58932519796503069</v>
      </c>
      <c r="AK5">
        <f t="shared" ref="AK5:AK37" si="18">1000*(AA5/1000)*($I$4/10^6)/$AD$4</f>
        <v>5.4734537493158181E-2</v>
      </c>
      <c r="AM5">
        <f t="shared" ref="AM5:AM37" si="19">$AL$4*AB5</f>
        <v>5.2380952380952375E-2</v>
      </c>
      <c r="AN5">
        <f t="shared" ref="AN5:AN37" si="20">AM5/AJ5</f>
        <v>8.8882933500597658E-2</v>
      </c>
      <c r="AO5">
        <f t="shared" ref="AO5:AO40" si="21">AH5^(-0.6)*AI5^0.57*AM5^0.45</f>
        <v>1.5550255589721059E-2</v>
      </c>
      <c r="AP5">
        <f t="shared" ref="AP5:AP40" si="22">AH5^(-0.6)*AI5^0.57</f>
        <v>5.8628597599815827E-2</v>
      </c>
      <c r="AQ5">
        <f t="shared" ref="AQ5:AQ40" si="23">(AI5*AM5/AH5)^0.6</f>
        <v>9.3242420772777761E-3</v>
      </c>
      <c r="AR5">
        <f t="shared" ref="AR5:AR40" si="24">(AI5/AH5)^(0.6)*AM5^(0.45)</f>
        <v>1.4512342907599623E-2</v>
      </c>
      <c r="AS5">
        <f t="shared" ref="AS5:AS40" si="25">AI5/AH5</f>
        <v>7.8858620689655195E-3</v>
      </c>
    </row>
    <row r="6" spans="2:45" x14ac:dyDescent="0.2">
      <c r="B6" s="1">
        <v>1000</v>
      </c>
      <c r="C6">
        <v>1.6566000000000001</v>
      </c>
      <c r="D6">
        <v>1.6557E-3</v>
      </c>
      <c r="E6">
        <v>20.97</v>
      </c>
      <c r="F6">
        <v>54.215000000000003</v>
      </c>
      <c r="G6" t="s">
        <v>11</v>
      </c>
      <c r="K6">
        <v>10</v>
      </c>
      <c r="L6">
        <v>20</v>
      </c>
      <c r="M6">
        <v>24.854500000000002</v>
      </c>
      <c r="N6">
        <v>0.1169</v>
      </c>
      <c r="O6">
        <v>24.518799999999999</v>
      </c>
      <c r="P6">
        <v>0.14699999999999999</v>
      </c>
      <c r="Q6">
        <f>96/(250/1000)</f>
        <v>384</v>
      </c>
      <c r="R6">
        <f t="shared" si="1"/>
        <v>96.823139851967284</v>
      </c>
      <c r="S6">
        <f t="shared" si="2"/>
        <v>0.45539540319439037</v>
      </c>
      <c r="T6">
        <f t="shared" si="3"/>
        <v>95.515387611998449</v>
      </c>
      <c r="U6">
        <f t="shared" si="4"/>
        <v>0.57265290222049081</v>
      </c>
      <c r="V6">
        <f t="shared" si="5"/>
        <v>0.92212514144730751</v>
      </c>
      <c r="W6">
        <f t="shared" si="6"/>
        <v>4.3370990780418131E-3</v>
      </c>
      <c r="X6">
        <f t="shared" si="7"/>
        <v>0.90967035820950903</v>
      </c>
      <c r="Y6">
        <f t="shared" si="8"/>
        <v>5.453837164004674E-3</v>
      </c>
      <c r="Z6">
        <f t="shared" si="9"/>
        <v>15.873015873015872</v>
      </c>
      <c r="AA6">
        <f t="shared" si="10"/>
        <v>31.746031746031743</v>
      </c>
      <c r="AB6">
        <f t="shared" si="11"/>
        <v>158.73015873015871</v>
      </c>
      <c r="AC6">
        <f t="shared" si="12"/>
        <v>2.6934222272908385E-3</v>
      </c>
      <c r="AE6">
        <f t="shared" si="13"/>
        <v>9.28766285272703E-3</v>
      </c>
      <c r="AG6">
        <f t="shared" si="14"/>
        <v>1.1777612607857093E-2</v>
      </c>
      <c r="AH6">
        <f t="shared" si="15"/>
        <v>2.5361843543661724</v>
      </c>
      <c r="AI6">
        <f t="shared" si="16"/>
        <v>0.5</v>
      </c>
      <c r="AJ6">
        <f t="shared" si="17"/>
        <v>0.58932519796503069</v>
      </c>
      <c r="AK6">
        <f t="shared" si="18"/>
        <v>1.0946907498631636E-2</v>
      </c>
      <c r="AM6">
        <f t="shared" si="19"/>
        <v>5.2380952380952375E-2</v>
      </c>
      <c r="AN6">
        <f t="shared" si="20"/>
        <v>8.8882933500597658E-2</v>
      </c>
      <c r="AO6">
        <f t="shared" si="21"/>
        <v>0.10221919035292593</v>
      </c>
      <c r="AP6">
        <f t="shared" si="22"/>
        <v>0.38539352254390641</v>
      </c>
      <c r="AQ6">
        <f t="shared" si="23"/>
        <v>6.4324666823324397E-2</v>
      </c>
      <c r="AR6">
        <f t="shared" si="24"/>
        <v>0.10011554983455744</v>
      </c>
      <c r="AS6">
        <f t="shared" si="25"/>
        <v>0.19714655172413795</v>
      </c>
    </row>
    <row r="7" spans="2:45" x14ac:dyDescent="0.2">
      <c r="B7">
        <v>790</v>
      </c>
      <c r="C7">
        <v>1.3524</v>
      </c>
      <c r="D7">
        <v>1.712E-3</v>
      </c>
      <c r="E7">
        <v>20.97</v>
      </c>
      <c r="F7">
        <v>44.261000000000003</v>
      </c>
      <c r="G7" t="s">
        <v>11</v>
      </c>
      <c r="K7">
        <v>10</v>
      </c>
      <c r="L7">
        <v>30</v>
      </c>
      <c r="M7">
        <v>50.649700000000003</v>
      </c>
      <c r="N7">
        <v>6.9302000000000001</v>
      </c>
      <c r="O7">
        <v>46.017800000000001</v>
      </c>
      <c r="P7">
        <v>6.9112999999999998</v>
      </c>
      <c r="Q7">
        <f>25/(250/1000)</f>
        <v>100</v>
      </c>
      <c r="R7">
        <f t="shared" si="1"/>
        <v>197.3108687183483</v>
      </c>
      <c r="S7">
        <f t="shared" si="2"/>
        <v>26.997273081418001</v>
      </c>
      <c r="T7">
        <f t="shared" si="3"/>
        <v>179.26684846123882</v>
      </c>
      <c r="U7">
        <f t="shared" si="4"/>
        <v>26.923646279703934</v>
      </c>
      <c r="V7">
        <f t="shared" si="5"/>
        <v>1.8791511306509363</v>
      </c>
      <c r="W7">
        <f t="shared" si="6"/>
        <v>0.25711688648969527</v>
      </c>
      <c r="X7">
        <f t="shared" si="7"/>
        <v>1.707303318678465</v>
      </c>
      <c r="Y7">
        <f t="shared" si="8"/>
        <v>0.2564156788543232</v>
      </c>
      <c r="Z7">
        <f t="shared" si="9"/>
        <v>15.873015873015872</v>
      </c>
      <c r="AA7">
        <f t="shared" si="10"/>
        <v>47.619047619047613</v>
      </c>
      <c r="AB7">
        <f t="shared" si="11"/>
        <v>158.73015873015871</v>
      </c>
      <c r="AC7">
        <f t="shared" si="12"/>
        <v>2.6934222272908385E-3</v>
      </c>
      <c r="AE7">
        <f t="shared" si="13"/>
        <v>9.28766285272703E-3</v>
      </c>
      <c r="AG7">
        <f t="shared" si="14"/>
        <v>1.1777612607857093E-2</v>
      </c>
      <c r="AH7">
        <f t="shared" si="15"/>
        <v>3.8042765315492586</v>
      </c>
      <c r="AI7">
        <f t="shared" si="16"/>
        <v>0.33333333333333331</v>
      </c>
      <c r="AJ7">
        <f t="shared" si="17"/>
        <v>0.58932519796503069</v>
      </c>
      <c r="AK7">
        <f t="shared" si="18"/>
        <v>1.6420361247947456E-2</v>
      </c>
      <c r="AM7">
        <f t="shared" si="19"/>
        <v>5.2380952380952375E-2</v>
      </c>
      <c r="AN7">
        <f t="shared" si="20"/>
        <v>8.8882933500597658E-2</v>
      </c>
      <c r="AO7">
        <f t="shared" si="21"/>
        <v>6.3607109977032852E-2</v>
      </c>
      <c r="AP7">
        <f t="shared" si="22"/>
        <v>0.23981571452727382</v>
      </c>
      <c r="AQ7">
        <f t="shared" si="23"/>
        <v>3.9542856120809086E-2</v>
      </c>
      <c r="AR7">
        <f t="shared" si="24"/>
        <v>6.1544893709859064E-2</v>
      </c>
      <c r="AS7">
        <f t="shared" si="25"/>
        <v>8.7620689655172418E-2</v>
      </c>
    </row>
    <row r="8" spans="2:45" x14ac:dyDescent="0.2">
      <c r="B8">
        <v>628</v>
      </c>
      <c r="C8">
        <v>1.1034999999999999</v>
      </c>
      <c r="D8">
        <v>1.7581000000000001E-3</v>
      </c>
      <c r="E8">
        <v>20.96</v>
      </c>
      <c r="F8">
        <v>36.115000000000002</v>
      </c>
      <c r="G8" t="s">
        <v>11</v>
      </c>
      <c r="K8">
        <v>10</v>
      </c>
      <c r="L8">
        <v>40</v>
      </c>
      <c r="M8">
        <v>50.513800000000003</v>
      </c>
      <c r="N8">
        <v>4.0941999999999998</v>
      </c>
      <c r="O8">
        <v>46.476799999999997</v>
      </c>
      <c r="P8">
        <v>4.9348999999999998</v>
      </c>
      <c r="Q8">
        <f>38/(250/1000)</f>
        <v>152</v>
      </c>
      <c r="R8">
        <f t="shared" si="1"/>
        <v>196.78145695364242</v>
      </c>
      <c r="S8">
        <f t="shared" si="2"/>
        <v>15.949357226334243</v>
      </c>
      <c r="T8">
        <f t="shared" si="3"/>
        <v>181.05492793143748</v>
      </c>
      <c r="U8">
        <f t="shared" si="4"/>
        <v>19.224386443319052</v>
      </c>
      <c r="V8">
        <f t="shared" si="5"/>
        <v>1.8741091138442134</v>
      </c>
      <c r="W8">
        <f t="shared" si="6"/>
        <v>0.15189864025080232</v>
      </c>
      <c r="X8">
        <f t="shared" si="7"/>
        <v>1.7243326469660711</v>
      </c>
      <c r="Y8">
        <f t="shared" si="8"/>
        <v>0.18308939469827668</v>
      </c>
      <c r="Z8">
        <f t="shared" si="9"/>
        <v>15.873015873015872</v>
      </c>
      <c r="AA8">
        <f t="shared" si="10"/>
        <v>63.492063492063487</v>
      </c>
      <c r="AB8">
        <f t="shared" si="11"/>
        <v>158.73015873015871</v>
      </c>
      <c r="AC8">
        <f t="shared" si="12"/>
        <v>2.6934222272908385E-3</v>
      </c>
      <c r="AE8">
        <f t="shared" si="13"/>
        <v>9.28766285272703E-3</v>
      </c>
      <c r="AG8">
        <f t="shared" si="14"/>
        <v>1.1777612607857093E-2</v>
      </c>
      <c r="AH8">
        <f t="shared" si="15"/>
        <v>5.0723687087323448</v>
      </c>
      <c r="AI8">
        <f t="shared" si="16"/>
        <v>0.25</v>
      </c>
      <c r="AJ8">
        <f t="shared" si="17"/>
        <v>0.58932519796503069</v>
      </c>
      <c r="AK8">
        <f t="shared" si="18"/>
        <v>2.1893814997263273E-2</v>
      </c>
      <c r="AM8">
        <f t="shared" si="19"/>
        <v>5.2380952380952375E-2</v>
      </c>
      <c r="AN8">
        <f t="shared" si="20"/>
        <v>8.8882933500597658E-2</v>
      </c>
      <c r="AO8">
        <f t="shared" si="21"/>
        <v>4.542838960998534E-2</v>
      </c>
      <c r="AP8">
        <f t="shared" si="22"/>
        <v>0.1712771059410774</v>
      </c>
      <c r="AQ8">
        <f t="shared" si="23"/>
        <v>2.7998937468440281E-2</v>
      </c>
      <c r="AR8">
        <f t="shared" si="24"/>
        <v>4.3577824151587584E-2</v>
      </c>
      <c r="AS8">
        <f t="shared" si="25"/>
        <v>4.9286637931034487E-2</v>
      </c>
    </row>
    <row r="9" spans="2:45" x14ac:dyDescent="0.2">
      <c r="B9">
        <v>499</v>
      </c>
      <c r="C9">
        <v>0.90003</v>
      </c>
      <c r="D9">
        <v>1.8052999999999999E-3</v>
      </c>
      <c r="E9">
        <v>20.96</v>
      </c>
      <c r="F9">
        <v>29.456</v>
      </c>
      <c r="G9" t="s">
        <v>11</v>
      </c>
      <c r="K9">
        <v>10</v>
      </c>
      <c r="L9">
        <v>50</v>
      </c>
      <c r="M9">
        <v>31.7956</v>
      </c>
      <c r="N9">
        <v>4.1273999999999997</v>
      </c>
      <c r="O9">
        <v>30.509399999999999</v>
      </c>
      <c r="P9">
        <v>4.0640999999999998</v>
      </c>
      <c r="Q9">
        <f>66/(250/1000)</f>
        <v>264</v>
      </c>
      <c r="R9">
        <f t="shared" si="1"/>
        <v>123.86287495130503</v>
      </c>
      <c r="S9">
        <f t="shared" si="2"/>
        <v>16.078691079080638</v>
      </c>
      <c r="T9">
        <f t="shared" si="3"/>
        <v>118.85235683677445</v>
      </c>
      <c r="U9">
        <f t="shared" si="4"/>
        <v>15.832099727308142</v>
      </c>
      <c r="V9">
        <f t="shared" si="5"/>
        <v>1.1796464281076671</v>
      </c>
      <c r="W9">
        <f t="shared" si="6"/>
        <v>0.15313039122933941</v>
      </c>
      <c r="X9">
        <f t="shared" si="7"/>
        <v>1.1319272079692804</v>
      </c>
      <c r="Y9">
        <f t="shared" si="8"/>
        <v>0.15078190216483944</v>
      </c>
      <c r="Z9">
        <f t="shared" si="9"/>
        <v>15.873015873015872</v>
      </c>
      <c r="AA9">
        <f t="shared" si="10"/>
        <v>79.365079365079353</v>
      </c>
      <c r="AB9">
        <f t="shared" si="11"/>
        <v>158.73015873015871</v>
      </c>
      <c r="AC9">
        <f t="shared" si="12"/>
        <v>2.6934222272908385E-3</v>
      </c>
      <c r="AE9">
        <f t="shared" si="13"/>
        <v>9.28766285272703E-3</v>
      </c>
      <c r="AG9">
        <f t="shared" si="14"/>
        <v>1.1777612607857093E-2</v>
      </c>
      <c r="AH9">
        <f t="shared" si="15"/>
        <v>6.3404608859154301</v>
      </c>
      <c r="AI9">
        <f t="shared" si="16"/>
        <v>0.2</v>
      </c>
      <c r="AJ9">
        <f t="shared" si="17"/>
        <v>0.58932519796503069</v>
      </c>
      <c r="AK9">
        <f t="shared" si="18"/>
        <v>2.736726874657909E-2</v>
      </c>
      <c r="AM9">
        <f t="shared" si="19"/>
        <v>5.2380952380952375E-2</v>
      </c>
      <c r="AN9">
        <f t="shared" si="20"/>
        <v>8.8882933500597658E-2</v>
      </c>
      <c r="AO9">
        <f t="shared" si="21"/>
        <v>3.4989893980590513E-2</v>
      </c>
      <c r="AP9">
        <f t="shared" si="22"/>
        <v>0.13192120235015747</v>
      </c>
      <c r="AQ9">
        <f t="shared" si="23"/>
        <v>2.1421483071526238E-2</v>
      </c>
      <c r="AR9">
        <f t="shared" si="24"/>
        <v>3.3340608850225155E-2</v>
      </c>
      <c r="AS9">
        <f t="shared" si="25"/>
        <v>3.1543448275862078E-2</v>
      </c>
    </row>
    <row r="10" spans="2:45" x14ac:dyDescent="0.2">
      <c r="B10">
        <v>396</v>
      </c>
      <c r="C10">
        <v>0.73519000000000001</v>
      </c>
      <c r="D10">
        <v>1.8565000000000001E-3</v>
      </c>
      <c r="E10">
        <v>20.96</v>
      </c>
      <c r="F10">
        <v>24.061</v>
      </c>
      <c r="G10" t="s">
        <v>11</v>
      </c>
      <c r="K10">
        <v>10</v>
      </c>
      <c r="L10">
        <v>60</v>
      </c>
      <c r="M10">
        <v>27.460999999999999</v>
      </c>
      <c r="N10">
        <v>3.5872000000000002</v>
      </c>
      <c r="O10">
        <v>26.517800000000001</v>
      </c>
      <c r="P10">
        <v>3.7978000000000001</v>
      </c>
      <c r="Q10">
        <f>92/(250/1000)</f>
        <v>368</v>
      </c>
      <c r="R10">
        <f t="shared" si="1"/>
        <v>106.9770159719517</v>
      </c>
      <c r="S10">
        <f t="shared" si="2"/>
        <v>13.974289053369693</v>
      </c>
      <c r="T10">
        <f t="shared" si="3"/>
        <v>103.30268796260226</v>
      </c>
      <c r="U10">
        <f t="shared" si="4"/>
        <v>14.794701986754967</v>
      </c>
      <c r="V10">
        <f t="shared" si="5"/>
        <v>1.0188287235423972</v>
      </c>
      <c r="W10">
        <f t="shared" si="6"/>
        <v>0.13308846717494946</v>
      </c>
      <c r="X10">
        <f t="shared" si="7"/>
        <v>0.98383512345335489</v>
      </c>
      <c r="Y10">
        <f t="shared" si="8"/>
        <v>0.14090192368338064</v>
      </c>
      <c r="Z10">
        <f t="shared" si="9"/>
        <v>15.873015873015872</v>
      </c>
      <c r="AA10">
        <f t="shared" si="10"/>
        <v>95.238095238095227</v>
      </c>
      <c r="AB10">
        <f t="shared" si="11"/>
        <v>158.73015873015871</v>
      </c>
      <c r="AC10">
        <f t="shared" si="12"/>
        <v>2.6934222272908385E-3</v>
      </c>
      <c r="AE10">
        <f t="shared" si="13"/>
        <v>9.28766285272703E-3</v>
      </c>
      <c r="AG10">
        <f t="shared" si="14"/>
        <v>1.1777612607857093E-2</v>
      </c>
      <c r="AH10">
        <f t="shared" si="15"/>
        <v>7.6085530630985172</v>
      </c>
      <c r="AI10">
        <f t="shared" si="16"/>
        <v>0.16666666666666666</v>
      </c>
      <c r="AJ10">
        <f t="shared" si="17"/>
        <v>0.58932519796503069</v>
      </c>
      <c r="AK10">
        <f t="shared" si="18"/>
        <v>3.2840722495894911E-2</v>
      </c>
      <c r="AM10">
        <f t="shared" si="19"/>
        <v>5.2380952380952375E-2</v>
      </c>
      <c r="AN10">
        <f t="shared" si="20"/>
        <v>8.8882933500597658E-2</v>
      </c>
      <c r="AO10">
        <f t="shared" si="21"/>
        <v>2.8268357086621398E-2</v>
      </c>
      <c r="AP10">
        <f t="shared" si="22"/>
        <v>0.10657922134314947</v>
      </c>
      <c r="AQ10">
        <f t="shared" si="23"/>
        <v>1.7212027835153975E-2</v>
      </c>
      <c r="AR10">
        <f t="shared" si="24"/>
        <v>2.6788970943558952E-2</v>
      </c>
      <c r="AS10">
        <f t="shared" si="25"/>
        <v>2.1905172413793104E-2</v>
      </c>
    </row>
    <row r="11" spans="2:45" x14ac:dyDescent="0.2">
      <c r="B11">
        <v>315</v>
      </c>
      <c r="C11">
        <v>0.59987000000000001</v>
      </c>
      <c r="D11">
        <v>1.9070000000000001E-3</v>
      </c>
      <c r="E11">
        <v>20.96</v>
      </c>
      <c r="F11">
        <v>19.632000000000001</v>
      </c>
      <c r="G11" t="s">
        <v>11</v>
      </c>
      <c r="K11">
        <v>10</v>
      </c>
      <c r="L11">
        <v>70</v>
      </c>
      <c r="M11">
        <v>26.331299999999999</v>
      </c>
      <c r="N11">
        <v>2.9964</v>
      </c>
      <c r="O11">
        <v>25.1813</v>
      </c>
      <c r="P11">
        <v>3.4045999999999998</v>
      </c>
      <c r="Q11">
        <f>123/(250/1000)</f>
        <v>492</v>
      </c>
      <c r="R11">
        <f t="shared" si="1"/>
        <v>102.57615894039735</v>
      </c>
      <c r="S11">
        <f t="shared" si="2"/>
        <v>11.67276977015972</v>
      </c>
      <c r="T11">
        <f t="shared" si="3"/>
        <v>98.096221269964943</v>
      </c>
      <c r="U11">
        <f t="shared" si="4"/>
        <v>13.262952863264511</v>
      </c>
      <c r="V11">
        <f t="shared" si="5"/>
        <v>0.97691579943235574</v>
      </c>
      <c r="W11">
        <f t="shared" si="6"/>
        <v>0.11116923590628304</v>
      </c>
      <c r="X11">
        <f t="shared" si="7"/>
        <v>0.93424972638061854</v>
      </c>
      <c r="Y11">
        <f t="shared" si="8"/>
        <v>0.12631383679299535</v>
      </c>
      <c r="Z11">
        <f t="shared" si="9"/>
        <v>15.873015873015872</v>
      </c>
      <c r="AA11">
        <f t="shared" si="10"/>
        <v>111.1111111111111</v>
      </c>
      <c r="AB11">
        <f t="shared" si="11"/>
        <v>158.73015873015871</v>
      </c>
      <c r="AC11">
        <f t="shared" si="12"/>
        <v>2.6934222272908385E-3</v>
      </c>
      <c r="AE11">
        <f t="shared" si="13"/>
        <v>9.28766285272703E-3</v>
      </c>
      <c r="AG11">
        <f t="shared" si="14"/>
        <v>1.1777612607857093E-2</v>
      </c>
      <c r="AH11">
        <f t="shared" si="15"/>
        <v>8.8766452402816043</v>
      </c>
      <c r="AI11">
        <f t="shared" si="16"/>
        <v>0.14285714285714285</v>
      </c>
      <c r="AJ11">
        <f t="shared" si="17"/>
        <v>0.58932519796503069</v>
      </c>
      <c r="AK11">
        <f t="shared" si="18"/>
        <v>3.8314176245210725E-2</v>
      </c>
      <c r="AM11">
        <f t="shared" si="19"/>
        <v>5.2380952380952375E-2</v>
      </c>
      <c r="AN11">
        <f t="shared" si="20"/>
        <v>8.8882933500597658E-2</v>
      </c>
      <c r="AO11">
        <f t="shared" si="21"/>
        <v>2.3603305352564021E-2</v>
      </c>
      <c r="AP11">
        <f t="shared" si="22"/>
        <v>8.8990736104413964E-2</v>
      </c>
      <c r="AQ11">
        <f t="shared" si="23"/>
        <v>1.430526450010561E-2</v>
      </c>
      <c r="AR11">
        <f t="shared" si="24"/>
        <v>2.2264855640690771E-2</v>
      </c>
      <c r="AS11">
        <f t="shared" si="25"/>
        <v>1.6093596059113299E-2</v>
      </c>
    </row>
    <row r="12" spans="2:45" x14ac:dyDescent="0.2">
      <c r="B12">
        <v>250</v>
      </c>
      <c r="C12">
        <v>0.49029</v>
      </c>
      <c r="D12">
        <v>1.9623000000000002E-3</v>
      </c>
      <c r="E12">
        <v>20.96</v>
      </c>
      <c r="F12">
        <v>16.045999999999999</v>
      </c>
      <c r="G12" t="s">
        <v>11</v>
      </c>
      <c r="K12">
        <v>10</v>
      </c>
      <c r="L12">
        <v>80</v>
      </c>
      <c r="M12">
        <v>20.317699999999999</v>
      </c>
      <c r="N12">
        <v>3.1454</v>
      </c>
      <c r="O12">
        <v>18.297499999999999</v>
      </c>
      <c r="P12">
        <v>3.5503999999999998</v>
      </c>
      <c r="Q12">
        <f>181/(250/1000)</f>
        <v>724</v>
      </c>
      <c r="R12">
        <f t="shared" si="1"/>
        <v>79.149590962212699</v>
      </c>
      <c r="S12">
        <f t="shared" si="2"/>
        <v>12.253213868328789</v>
      </c>
      <c r="T12">
        <f t="shared" si="3"/>
        <v>71.27970393455395</v>
      </c>
      <c r="U12">
        <f t="shared" si="4"/>
        <v>13.830931047915856</v>
      </c>
      <c r="V12">
        <f t="shared" si="5"/>
        <v>0.75380562821154951</v>
      </c>
      <c r="W12">
        <f t="shared" si="6"/>
        <v>0.11669727493646466</v>
      </c>
      <c r="X12">
        <f t="shared" si="7"/>
        <v>0.67885432318622807</v>
      </c>
      <c r="Y12">
        <f t="shared" si="8"/>
        <v>0.13172315283729386</v>
      </c>
      <c r="Z12">
        <f t="shared" si="9"/>
        <v>15.873015873015872</v>
      </c>
      <c r="AA12">
        <f t="shared" si="10"/>
        <v>126.98412698412697</v>
      </c>
      <c r="AB12">
        <f t="shared" si="11"/>
        <v>158.73015873015871</v>
      </c>
      <c r="AC12">
        <f t="shared" si="12"/>
        <v>2.6934222272908385E-3</v>
      </c>
      <c r="AE12">
        <f t="shared" si="13"/>
        <v>9.28766285272703E-3</v>
      </c>
      <c r="AG12">
        <f t="shared" si="14"/>
        <v>1.1777612607857093E-2</v>
      </c>
      <c r="AH12">
        <f t="shared" si="15"/>
        <v>10.14473741746469</v>
      </c>
      <c r="AI12">
        <f t="shared" si="16"/>
        <v>0.125</v>
      </c>
      <c r="AJ12">
        <f t="shared" si="17"/>
        <v>0.58932519796503069</v>
      </c>
      <c r="AK12">
        <f t="shared" si="18"/>
        <v>4.3787629994526546E-2</v>
      </c>
      <c r="AM12">
        <f t="shared" si="19"/>
        <v>5.2380952380952375E-2</v>
      </c>
      <c r="AN12">
        <f t="shared" si="20"/>
        <v>8.8882933500597658E-2</v>
      </c>
      <c r="AO12">
        <f t="shared" si="21"/>
        <v>2.0189345811009469E-2</v>
      </c>
      <c r="AP12">
        <f t="shared" si="22"/>
        <v>7.6119201033558972E-2</v>
      </c>
      <c r="AQ12">
        <f t="shared" si="23"/>
        <v>1.218724539242182E-2</v>
      </c>
      <c r="AR12">
        <f t="shared" si="24"/>
        <v>1.8968349681192015E-2</v>
      </c>
      <c r="AS12">
        <f t="shared" si="25"/>
        <v>1.2321659482758622E-2</v>
      </c>
    </row>
    <row r="13" spans="2:45" x14ac:dyDescent="0.2">
      <c r="B13">
        <v>198</v>
      </c>
      <c r="C13">
        <v>0.39799000000000001</v>
      </c>
      <c r="D13">
        <v>2.0052999999999998E-3</v>
      </c>
      <c r="E13">
        <v>20.96</v>
      </c>
      <c r="F13">
        <v>13.025</v>
      </c>
      <c r="G13" t="s">
        <v>11</v>
      </c>
      <c r="K13">
        <v>10</v>
      </c>
      <c r="L13">
        <v>90</v>
      </c>
      <c r="M13">
        <v>23.666899999999998</v>
      </c>
      <c r="N13">
        <v>3.4437000000000002</v>
      </c>
      <c r="O13">
        <v>22.614899999999999</v>
      </c>
      <c r="P13">
        <v>3.8037000000000001</v>
      </c>
      <c r="Q13">
        <f>166/(250/1000)</f>
        <v>664</v>
      </c>
      <c r="R13">
        <f t="shared" si="1"/>
        <v>92.19672769770159</v>
      </c>
      <c r="S13">
        <f t="shared" si="2"/>
        <v>13.415270744059216</v>
      </c>
      <c r="T13">
        <f t="shared" si="3"/>
        <v>88.098558628749515</v>
      </c>
      <c r="U13">
        <f t="shared" si="4"/>
        <v>14.817686014803273</v>
      </c>
      <c r="V13">
        <f t="shared" si="5"/>
        <v>0.87806407331144376</v>
      </c>
      <c r="W13">
        <f t="shared" si="6"/>
        <v>0.12776448327675444</v>
      </c>
      <c r="X13">
        <f t="shared" si="7"/>
        <v>0.8390338917023763</v>
      </c>
      <c r="Y13">
        <f t="shared" si="8"/>
        <v>0.14112081918860261</v>
      </c>
      <c r="Z13">
        <f t="shared" si="9"/>
        <v>15.873015873015872</v>
      </c>
      <c r="AA13">
        <f t="shared" si="10"/>
        <v>142.85714285714283</v>
      </c>
      <c r="AB13">
        <f t="shared" si="11"/>
        <v>158.73015873015871</v>
      </c>
      <c r="AC13">
        <f t="shared" si="12"/>
        <v>2.6934222272908385E-3</v>
      </c>
      <c r="AE13">
        <f t="shared" si="13"/>
        <v>9.28766285272703E-3</v>
      </c>
      <c r="AG13">
        <f t="shared" si="14"/>
        <v>1.1777612607857093E-2</v>
      </c>
      <c r="AH13">
        <f t="shared" si="15"/>
        <v>11.412829594647773</v>
      </c>
      <c r="AI13">
        <f t="shared" si="16"/>
        <v>0.1111111111111111</v>
      </c>
      <c r="AJ13">
        <f t="shared" si="17"/>
        <v>0.58932519796503069</v>
      </c>
      <c r="AK13">
        <f t="shared" si="18"/>
        <v>4.926108374384236E-2</v>
      </c>
      <c r="AM13">
        <f t="shared" si="19"/>
        <v>5.2380952380952375E-2</v>
      </c>
      <c r="AN13">
        <f t="shared" si="20"/>
        <v>8.8882933500597658E-2</v>
      </c>
      <c r="AO13">
        <f t="shared" si="21"/>
        <v>1.7590322246445928E-2</v>
      </c>
      <c r="AP13">
        <f t="shared" si="22"/>
        <v>6.6320191246224139E-2</v>
      </c>
      <c r="AQ13">
        <f t="shared" si="23"/>
        <v>1.0580898026292798E-2</v>
      </c>
      <c r="AR13">
        <f t="shared" si="24"/>
        <v>1.6468214698339884E-2</v>
      </c>
      <c r="AS13">
        <f t="shared" si="25"/>
        <v>9.7356321839080478E-3</v>
      </c>
    </row>
    <row r="14" spans="2:45" x14ac:dyDescent="0.2">
      <c r="B14">
        <v>158</v>
      </c>
      <c r="C14">
        <v>0.32416</v>
      </c>
      <c r="D14">
        <v>2.0562000000000002E-3</v>
      </c>
      <c r="E14">
        <v>20.95</v>
      </c>
      <c r="F14">
        <v>10.609</v>
      </c>
      <c r="G14" t="s">
        <v>11</v>
      </c>
      <c r="K14">
        <v>20</v>
      </c>
      <c r="L14">
        <v>100</v>
      </c>
      <c r="M14">
        <v>34.6327</v>
      </c>
      <c r="N14">
        <v>4.9537000000000004</v>
      </c>
      <c r="O14">
        <v>32.039700000000003</v>
      </c>
      <c r="P14">
        <v>3.9929000000000001</v>
      </c>
      <c r="Q14">
        <f>57/(250/2000)</f>
        <v>456</v>
      </c>
      <c r="R14">
        <f t="shared" si="1"/>
        <v>134.91507596416051</v>
      </c>
      <c r="S14">
        <f t="shared" si="2"/>
        <v>19.297623685235685</v>
      </c>
      <c r="T14">
        <f t="shared" si="3"/>
        <v>124.81379041682901</v>
      </c>
      <c r="U14">
        <f t="shared" si="4"/>
        <v>15.554733151538763</v>
      </c>
      <c r="V14">
        <f t="shared" si="5"/>
        <v>1.2849054853729571</v>
      </c>
      <c r="W14">
        <f t="shared" si="6"/>
        <v>0.18378689224033987</v>
      </c>
      <c r="X14">
        <f t="shared" si="7"/>
        <v>1.1887027658745619</v>
      </c>
      <c r="Y14">
        <f t="shared" si="8"/>
        <v>0.1481403157289406</v>
      </c>
      <c r="Z14">
        <f t="shared" si="9"/>
        <v>31.746031746031743</v>
      </c>
      <c r="AA14">
        <f t="shared" si="10"/>
        <v>158.73015873015871</v>
      </c>
      <c r="AB14">
        <f t="shared" si="11"/>
        <v>317.46031746031741</v>
      </c>
      <c r="AC14">
        <f t="shared" si="12"/>
        <v>2.6913572367080552E-3</v>
      </c>
      <c r="AE14">
        <f t="shared" si="13"/>
        <v>9.2805421955450187E-3</v>
      </c>
      <c r="AG14">
        <f t="shared" si="14"/>
        <v>2.3537165916376362E-2</v>
      </c>
      <c r="AH14">
        <f t="shared" si="15"/>
        <v>12.68092177183086</v>
      </c>
      <c r="AI14">
        <f t="shared" si="16"/>
        <v>0.2</v>
      </c>
      <c r="AJ14">
        <f t="shared" si="17"/>
        <v>1.1795547359168876</v>
      </c>
      <c r="AK14">
        <f t="shared" si="18"/>
        <v>5.4734537493158181E-2</v>
      </c>
      <c r="AM14">
        <f t="shared" si="19"/>
        <v>0.10476190476190475</v>
      </c>
      <c r="AN14">
        <f t="shared" si="20"/>
        <v>8.8814788811365813E-2</v>
      </c>
      <c r="AO14">
        <f t="shared" si="21"/>
        <v>3.1534658136711115E-2</v>
      </c>
      <c r="AP14">
        <f t="shared" si="22"/>
        <v>8.7035535049852286E-2</v>
      </c>
      <c r="AQ14">
        <f t="shared" si="23"/>
        <v>2.1421483071526238E-2</v>
      </c>
      <c r="AR14">
        <f t="shared" si="24"/>
        <v>3.0048239149992158E-2</v>
      </c>
      <c r="AS14">
        <f t="shared" si="25"/>
        <v>1.5771724137931039E-2</v>
      </c>
    </row>
    <row r="15" spans="2:45" x14ac:dyDescent="0.2">
      <c r="B15">
        <v>125</v>
      </c>
      <c r="C15">
        <v>0.26378000000000001</v>
      </c>
      <c r="D15">
        <v>2.1064999999999999E-3</v>
      </c>
      <c r="E15">
        <v>20.95</v>
      </c>
      <c r="F15">
        <v>8.6329999999999991</v>
      </c>
      <c r="G15" t="s">
        <v>11</v>
      </c>
      <c r="K15">
        <v>20</v>
      </c>
      <c r="L15">
        <v>20</v>
      </c>
      <c r="M15">
        <v>87.6374</v>
      </c>
      <c r="N15">
        <v>30.069400000000002</v>
      </c>
      <c r="O15">
        <v>60.585700000000003</v>
      </c>
      <c r="P15">
        <v>11.5976</v>
      </c>
      <c r="Q15">
        <f>13/(250/1000)</f>
        <v>52</v>
      </c>
      <c r="R15">
        <f t="shared" si="1"/>
        <v>341.4000779119595</v>
      </c>
      <c r="S15">
        <f t="shared" si="2"/>
        <v>117.13829372808728</v>
      </c>
      <c r="T15">
        <f t="shared" si="3"/>
        <v>236.01753019088432</v>
      </c>
      <c r="U15">
        <f t="shared" si="4"/>
        <v>45.179587066614729</v>
      </c>
      <c r="V15">
        <f t="shared" si="5"/>
        <v>3.2514293134472334</v>
      </c>
      <c r="W15">
        <f t="shared" si="6"/>
        <v>1.1156027974103551</v>
      </c>
      <c r="X15">
        <f t="shared" si="7"/>
        <v>2.2477860018179459</v>
      </c>
      <c r="Y15">
        <f t="shared" si="8"/>
        <v>0.43028178158680697</v>
      </c>
      <c r="Z15">
        <f t="shared" si="9"/>
        <v>31.746031746031743</v>
      </c>
      <c r="AA15">
        <f t="shared" si="10"/>
        <v>31.746031746031743</v>
      </c>
      <c r="AB15">
        <f t="shared" si="11"/>
        <v>317.46031746031741</v>
      </c>
      <c r="AC15">
        <f t="shared" si="12"/>
        <v>2.6913572367080552E-3</v>
      </c>
      <c r="AE15">
        <f t="shared" si="13"/>
        <v>9.2805421955450187E-3</v>
      </c>
      <c r="AG15">
        <f t="shared" si="14"/>
        <v>2.3537165916376362E-2</v>
      </c>
      <c r="AH15">
        <f t="shared" si="15"/>
        <v>2.5361843543661724</v>
      </c>
      <c r="AI15">
        <f t="shared" si="16"/>
        <v>1</v>
      </c>
      <c r="AJ15">
        <f t="shared" si="17"/>
        <v>1.1795547359168876</v>
      </c>
      <c r="AK15">
        <f t="shared" si="18"/>
        <v>1.0946907498631636E-2</v>
      </c>
      <c r="AM15">
        <f t="shared" si="19"/>
        <v>0.10476190476190475</v>
      </c>
      <c r="AN15">
        <f t="shared" si="20"/>
        <v>8.8814788811365813E-2</v>
      </c>
      <c r="AO15">
        <f t="shared" si="21"/>
        <v>0.20729223414962147</v>
      </c>
      <c r="AP15">
        <f t="shared" si="22"/>
        <v>0.57212576818418692</v>
      </c>
      <c r="AQ15">
        <f t="shared" si="23"/>
        <v>0.14777927793137016</v>
      </c>
      <c r="AR15">
        <f t="shared" si="24"/>
        <v>0.20729223414962147</v>
      </c>
      <c r="AS15">
        <f t="shared" si="25"/>
        <v>0.39429310344827589</v>
      </c>
    </row>
    <row r="16" spans="2:45" x14ac:dyDescent="0.2">
      <c r="B16">
        <v>99.5</v>
      </c>
      <c r="C16">
        <v>0.21415999999999999</v>
      </c>
      <c r="D16">
        <v>2.153E-3</v>
      </c>
      <c r="E16">
        <v>20.95</v>
      </c>
      <c r="F16">
        <v>7.0090000000000003</v>
      </c>
      <c r="G16" t="s">
        <v>11</v>
      </c>
      <c r="K16">
        <v>20</v>
      </c>
      <c r="L16">
        <v>30</v>
      </c>
      <c r="M16">
        <v>85.037099999999995</v>
      </c>
      <c r="N16">
        <v>34.891800000000003</v>
      </c>
      <c r="O16">
        <v>60.720700000000001</v>
      </c>
      <c r="P16">
        <v>12.354100000000001</v>
      </c>
      <c r="Q16">
        <f>22/(250/1000)</f>
        <v>88</v>
      </c>
      <c r="R16">
        <f t="shared" si="1"/>
        <v>331.27035449941565</v>
      </c>
      <c r="S16">
        <f t="shared" si="2"/>
        <v>135.92442539929883</v>
      </c>
      <c r="T16">
        <f t="shared" si="3"/>
        <v>236.54343591741335</v>
      </c>
      <c r="U16">
        <f t="shared" si="4"/>
        <v>48.1266069341644</v>
      </c>
      <c r="V16">
        <f t="shared" si="5"/>
        <v>3.1549557571372917</v>
      </c>
      <c r="W16">
        <f t="shared" si="6"/>
        <v>1.2945183371361793</v>
      </c>
      <c r="X16">
        <f t="shared" si="7"/>
        <v>2.2527946277848891</v>
      </c>
      <c r="Y16">
        <f t="shared" si="8"/>
        <v>0.4583486374682324</v>
      </c>
      <c r="Z16">
        <f t="shared" si="9"/>
        <v>31.746031746031743</v>
      </c>
      <c r="AA16">
        <f t="shared" si="10"/>
        <v>47.619047619047613</v>
      </c>
      <c r="AB16">
        <f t="shared" si="11"/>
        <v>317.46031746031741</v>
      </c>
      <c r="AC16">
        <f t="shared" si="12"/>
        <v>2.6913572367080552E-3</v>
      </c>
      <c r="AE16">
        <f t="shared" si="13"/>
        <v>9.2805421955450187E-3</v>
      </c>
      <c r="AG16">
        <f t="shared" si="14"/>
        <v>2.3537165916376362E-2</v>
      </c>
      <c r="AH16">
        <f t="shared" si="15"/>
        <v>3.8042765315492586</v>
      </c>
      <c r="AI16">
        <f t="shared" si="16"/>
        <v>0.66666666666666663</v>
      </c>
      <c r="AJ16">
        <f t="shared" si="17"/>
        <v>1.1795547359168876</v>
      </c>
      <c r="AK16">
        <f t="shared" si="18"/>
        <v>1.6420361247947456E-2</v>
      </c>
      <c r="AM16">
        <f t="shared" si="19"/>
        <v>0.10476190476190475</v>
      </c>
      <c r="AN16">
        <f t="shared" si="20"/>
        <v>8.8814788811365813E-2</v>
      </c>
      <c r="AO16">
        <f t="shared" si="21"/>
        <v>0.1289900642865188</v>
      </c>
      <c r="AP16">
        <f t="shared" si="22"/>
        <v>0.35601208082298524</v>
      </c>
      <c r="AQ16">
        <f t="shared" si="23"/>
        <v>9.084562755571568E-2</v>
      </c>
      <c r="AR16">
        <f t="shared" si="24"/>
        <v>0.12743053939872584</v>
      </c>
      <c r="AS16">
        <f t="shared" si="25"/>
        <v>0.17524137931034484</v>
      </c>
    </row>
    <row r="17" spans="2:45" x14ac:dyDescent="0.2">
      <c r="B17">
        <v>79</v>
      </c>
      <c r="C17">
        <v>0.17323</v>
      </c>
      <c r="D17">
        <v>2.1925E-3</v>
      </c>
      <c r="E17">
        <v>20.95</v>
      </c>
      <c r="F17">
        <v>5.6695000000000002</v>
      </c>
      <c r="G17" t="s">
        <v>11</v>
      </c>
      <c r="K17">
        <v>20</v>
      </c>
      <c r="L17">
        <v>40</v>
      </c>
      <c r="M17">
        <v>63.001199999999997</v>
      </c>
      <c r="N17">
        <v>11.5665</v>
      </c>
      <c r="O17">
        <v>52.927700000000002</v>
      </c>
      <c r="P17">
        <v>9.4806000000000008</v>
      </c>
      <c r="Q17">
        <f>29/(250/1000)</f>
        <v>116</v>
      </c>
      <c r="R17">
        <f t="shared" si="1"/>
        <v>245.42734709777952</v>
      </c>
      <c r="S17">
        <f t="shared" si="2"/>
        <v>45.058433969614335</v>
      </c>
      <c r="T17">
        <f t="shared" si="3"/>
        <v>206.18504090377874</v>
      </c>
      <c r="U17">
        <f t="shared" si="4"/>
        <v>36.932606155044802</v>
      </c>
      <c r="V17">
        <f t="shared" si="5"/>
        <v>2.3374033056931385</v>
      </c>
      <c r="W17">
        <f t="shared" si="6"/>
        <v>0.42912794256775555</v>
      </c>
      <c r="X17">
        <f t="shared" si="7"/>
        <v>1.9636670562264642</v>
      </c>
      <c r="Y17">
        <f t="shared" si="8"/>
        <v>0.35173910623852195</v>
      </c>
      <c r="Z17">
        <f t="shared" si="9"/>
        <v>31.746031746031743</v>
      </c>
      <c r="AA17">
        <f t="shared" si="10"/>
        <v>63.492063492063487</v>
      </c>
      <c r="AB17">
        <f t="shared" si="11"/>
        <v>317.46031746031741</v>
      </c>
      <c r="AC17">
        <f t="shared" si="12"/>
        <v>2.6913572367080552E-3</v>
      </c>
      <c r="AE17">
        <f t="shared" si="13"/>
        <v>9.2805421955450187E-3</v>
      </c>
      <c r="AG17">
        <f t="shared" si="14"/>
        <v>2.3537165916376362E-2</v>
      </c>
      <c r="AH17">
        <f t="shared" si="15"/>
        <v>5.0723687087323448</v>
      </c>
      <c r="AI17">
        <f t="shared" si="16"/>
        <v>0.5</v>
      </c>
      <c r="AJ17">
        <f t="shared" si="17"/>
        <v>1.1795547359168876</v>
      </c>
      <c r="AK17">
        <f t="shared" si="18"/>
        <v>2.1893814997263273E-2</v>
      </c>
      <c r="AM17">
        <f t="shared" si="19"/>
        <v>0.10476190476190475</v>
      </c>
      <c r="AN17">
        <f t="shared" si="20"/>
        <v>8.8814788811365813E-2</v>
      </c>
      <c r="AO17">
        <f t="shared" si="21"/>
        <v>9.2125092593278987E-2</v>
      </c>
      <c r="AP17">
        <f t="shared" si="22"/>
        <v>0.25426490087865811</v>
      </c>
      <c r="AQ17">
        <f t="shared" si="23"/>
        <v>6.4324666823324397E-2</v>
      </c>
      <c r="AR17">
        <f t="shared" si="24"/>
        <v>9.0229185602932513E-2</v>
      </c>
      <c r="AS17">
        <f t="shared" si="25"/>
        <v>9.8573275862068974E-2</v>
      </c>
    </row>
    <row r="18" spans="2:45" x14ac:dyDescent="0.2">
      <c r="B18">
        <v>62.8</v>
      </c>
      <c r="C18">
        <v>0.13977999999999999</v>
      </c>
      <c r="D18">
        <v>2.2271000000000001E-3</v>
      </c>
      <c r="E18">
        <v>20.95</v>
      </c>
      <c r="F18">
        <v>4.5746000000000002</v>
      </c>
      <c r="G18" t="s">
        <v>11</v>
      </c>
      <c r="K18">
        <v>20</v>
      </c>
      <c r="L18">
        <v>50</v>
      </c>
      <c r="M18">
        <v>53.333399999999997</v>
      </c>
      <c r="N18">
        <v>8.7399000000000004</v>
      </c>
      <c r="O18">
        <v>46.283000000000001</v>
      </c>
      <c r="P18">
        <v>7.0003000000000002</v>
      </c>
      <c r="Q18">
        <f>38/(250/1000)</f>
        <v>152</v>
      </c>
      <c r="R18">
        <f t="shared" si="1"/>
        <v>207.76548500194781</v>
      </c>
      <c r="S18">
        <f t="shared" si="2"/>
        <v>34.047136735488898</v>
      </c>
      <c r="T18">
        <f t="shared" si="3"/>
        <v>180.29996104402028</v>
      </c>
      <c r="U18">
        <f t="shared" si="4"/>
        <v>27.270354499415664</v>
      </c>
      <c r="V18">
        <f t="shared" si="5"/>
        <v>1.9787189047804554</v>
      </c>
      <c r="W18">
        <f t="shared" si="6"/>
        <v>0.32425844509989427</v>
      </c>
      <c r="X18">
        <f t="shared" si="7"/>
        <v>1.7171424861335265</v>
      </c>
      <c r="Y18">
        <f t="shared" si="8"/>
        <v>0.25971766189919682</v>
      </c>
      <c r="Z18">
        <f t="shared" si="9"/>
        <v>31.746031746031743</v>
      </c>
      <c r="AA18">
        <f t="shared" si="10"/>
        <v>79.365079365079353</v>
      </c>
      <c r="AB18">
        <f t="shared" si="11"/>
        <v>317.46031746031741</v>
      </c>
      <c r="AC18">
        <f t="shared" si="12"/>
        <v>2.6913572367080552E-3</v>
      </c>
      <c r="AE18">
        <f t="shared" si="13"/>
        <v>9.2805421955450187E-3</v>
      </c>
      <c r="AG18">
        <f t="shared" si="14"/>
        <v>2.3537165916376362E-2</v>
      </c>
      <c r="AH18">
        <f t="shared" si="15"/>
        <v>6.3404608859154301</v>
      </c>
      <c r="AI18">
        <f t="shared" si="16"/>
        <v>0.4</v>
      </c>
      <c r="AJ18">
        <f t="shared" si="17"/>
        <v>1.1795547359168876</v>
      </c>
      <c r="AK18">
        <f t="shared" si="18"/>
        <v>2.736726874657909E-2</v>
      </c>
      <c r="AM18">
        <f t="shared" si="19"/>
        <v>0.10476190476190475</v>
      </c>
      <c r="AN18">
        <f t="shared" si="20"/>
        <v>8.8814788811365813E-2</v>
      </c>
      <c r="AO18">
        <f t="shared" si="21"/>
        <v>7.0956669396935651E-2</v>
      </c>
      <c r="AP18">
        <f t="shared" si="22"/>
        <v>0.19584013435453307</v>
      </c>
      <c r="AQ18">
        <f t="shared" si="23"/>
        <v>4.9213644731718048E-2</v>
      </c>
      <c r="AR18">
        <f t="shared" si="24"/>
        <v>6.9032725764306982E-2</v>
      </c>
      <c r="AS18">
        <f t="shared" si="25"/>
        <v>6.3086896551724156E-2</v>
      </c>
    </row>
    <row r="19" spans="2:45" x14ac:dyDescent="0.2">
      <c r="B19">
        <v>49.9</v>
      </c>
      <c r="C19">
        <v>0.11232</v>
      </c>
      <c r="D19">
        <v>2.2531000000000001E-3</v>
      </c>
      <c r="E19">
        <v>20.95</v>
      </c>
      <c r="F19">
        <v>3.6760000000000002</v>
      </c>
      <c r="G19" t="s">
        <v>11</v>
      </c>
      <c r="K19">
        <v>20</v>
      </c>
      <c r="L19">
        <v>60</v>
      </c>
      <c r="M19">
        <v>46.726700000000001</v>
      </c>
      <c r="N19">
        <v>8.5153999999999996</v>
      </c>
      <c r="O19">
        <v>41.464100000000002</v>
      </c>
      <c r="P19">
        <v>7.2263999999999999</v>
      </c>
      <c r="Q19">
        <f>51/(250/1000)</f>
        <v>204</v>
      </c>
      <c r="R19">
        <f t="shared" si="1"/>
        <v>182.02843786521234</v>
      </c>
      <c r="S19">
        <f t="shared" si="2"/>
        <v>33.172574990261005</v>
      </c>
      <c r="T19">
        <f t="shared" si="3"/>
        <v>161.52746396571877</v>
      </c>
      <c r="U19">
        <f t="shared" si="4"/>
        <v>28.151149201402418</v>
      </c>
      <c r="V19">
        <f t="shared" si="5"/>
        <v>1.7336041701448794</v>
      </c>
      <c r="W19">
        <f t="shared" si="6"/>
        <v>0.31592928562153338</v>
      </c>
      <c r="X19">
        <f t="shared" si="7"/>
        <v>1.5383567996735121</v>
      </c>
      <c r="Y19">
        <f t="shared" si="8"/>
        <v>0.2681061828704992</v>
      </c>
      <c r="Z19">
        <f t="shared" si="9"/>
        <v>31.746031746031743</v>
      </c>
      <c r="AA19">
        <f t="shared" si="10"/>
        <v>95.238095238095227</v>
      </c>
      <c r="AB19">
        <f t="shared" si="11"/>
        <v>317.46031746031741</v>
      </c>
      <c r="AC19">
        <f t="shared" si="12"/>
        <v>2.6913572367080552E-3</v>
      </c>
      <c r="AE19">
        <f t="shared" si="13"/>
        <v>9.2805421955450187E-3</v>
      </c>
      <c r="AG19">
        <f t="shared" si="14"/>
        <v>2.3537165916376362E-2</v>
      </c>
      <c r="AH19">
        <f t="shared" si="15"/>
        <v>7.6085530630985172</v>
      </c>
      <c r="AI19">
        <f t="shared" si="16"/>
        <v>0.33333333333333331</v>
      </c>
      <c r="AJ19">
        <f t="shared" si="17"/>
        <v>1.1795547359168876</v>
      </c>
      <c r="AK19">
        <f t="shared" si="18"/>
        <v>3.2840722495894911E-2</v>
      </c>
      <c r="AM19">
        <f t="shared" si="19"/>
        <v>0.10476190476190475</v>
      </c>
      <c r="AN19">
        <f t="shared" si="20"/>
        <v>8.8814788811365813E-2</v>
      </c>
      <c r="AO19">
        <f t="shared" si="21"/>
        <v>5.7325937292138827E-2</v>
      </c>
      <c r="AP19">
        <f t="shared" si="22"/>
        <v>0.15821936622319599</v>
      </c>
      <c r="AQ19">
        <f t="shared" si="23"/>
        <v>3.9542856120809086E-2</v>
      </c>
      <c r="AR19">
        <f t="shared" si="24"/>
        <v>5.5467363927344859E-2</v>
      </c>
      <c r="AS19">
        <f t="shared" si="25"/>
        <v>4.3810344827586209E-2</v>
      </c>
    </row>
    <row r="20" spans="2:45" x14ac:dyDescent="0.2">
      <c r="B20">
        <v>39.6</v>
      </c>
      <c r="C20">
        <v>9.1153999999999999E-2</v>
      </c>
      <c r="D20">
        <v>2.3019E-3</v>
      </c>
      <c r="E20">
        <v>20.94</v>
      </c>
      <c r="F20">
        <v>2.9832999999999998</v>
      </c>
      <c r="G20" t="s">
        <v>11</v>
      </c>
      <c r="K20">
        <v>20</v>
      </c>
      <c r="L20">
        <v>70</v>
      </c>
      <c r="M20">
        <v>40.795499999999997</v>
      </c>
      <c r="N20">
        <v>6.5781000000000001</v>
      </c>
      <c r="O20">
        <v>37.153399999999998</v>
      </c>
      <c r="P20">
        <v>5.5312000000000001</v>
      </c>
      <c r="Q20">
        <f>74/(250/1000)</f>
        <v>296</v>
      </c>
      <c r="R20">
        <f t="shared" si="1"/>
        <v>158.92286716010906</v>
      </c>
      <c r="S20">
        <f t="shared" si="2"/>
        <v>25.625633034670823</v>
      </c>
      <c r="T20">
        <f t="shared" si="3"/>
        <v>144.73470977795091</v>
      </c>
      <c r="U20">
        <f t="shared" si="4"/>
        <v>21.547331515387615</v>
      </c>
      <c r="V20">
        <f t="shared" si="5"/>
        <v>1.5135511158105626</v>
      </c>
      <c r="W20">
        <f t="shared" si="6"/>
        <v>0.24405364794924594</v>
      </c>
      <c r="X20">
        <f t="shared" si="7"/>
        <v>1.3784258074090563</v>
      </c>
      <c r="Y20">
        <f t="shared" si="8"/>
        <v>0.20521268109892968</v>
      </c>
      <c r="Z20">
        <f t="shared" si="9"/>
        <v>31.746031746031743</v>
      </c>
      <c r="AA20">
        <f t="shared" si="10"/>
        <v>111.1111111111111</v>
      </c>
      <c r="AB20">
        <f t="shared" si="11"/>
        <v>317.46031746031741</v>
      </c>
      <c r="AC20">
        <f t="shared" si="12"/>
        <v>2.6913572367080552E-3</v>
      </c>
      <c r="AE20">
        <f t="shared" si="13"/>
        <v>9.2805421955450187E-3</v>
      </c>
      <c r="AG20">
        <f t="shared" si="14"/>
        <v>2.3537165916376362E-2</v>
      </c>
      <c r="AH20">
        <f t="shared" si="15"/>
        <v>8.8766452402816043</v>
      </c>
      <c r="AI20">
        <f t="shared" si="16"/>
        <v>0.2857142857142857</v>
      </c>
      <c r="AJ20">
        <f t="shared" si="17"/>
        <v>1.1795547359168876</v>
      </c>
      <c r="AK20">
        <f t="shared" si="18"/>
        <v>3.8314176245210725E-2</v>
      </c>
      <c r="AM20">
        <f t="shared" si="19"/>
        <v>0.10476190476190475</v>
      </c>
      <c r="AN20">
        <f t="shared" si="20"/>
        <v>8.8814788811365813E-2</v>
      </c>
      <c r="AO20">
        <f t="shared" si="21"/>
        <v>4.7865590433222055E-2</v>
      </c>
      <c r="AP20">
        <f t="shared" si="22"/>
        <v>0.13210884531463207</v>
      </c>
      <c r="AQ20">
        <f t="shared" si="23"/>
        <v>3.286486759813758E-2</v>
      </c>
      <c r="AR20">
        <f t="shared" si="24"/>
        <v>4.6100048158397987E-2</v>
      </c>
      <c r="AS20">
        <f t="shared" si="25"/>
        <v>3.2187192118226599E-2</v>
      </c>
    </row>
    <row r="21" spans="2:45" x14ac:dyDescent="0.2">
      <c r="B21">
        <v>31.5</v>
      </c>
      <c r="C21">
        <v>7.3275999999999994E-2</v>
      </c>
      <c r="D21">
        <v>2.3295E-3</v>
      </c>
      <c r="E21">
        <v>20.94</v>
      </c>
      <c r="F21">
        <v>2.3982000000000001</v>
      </c>
      <c r="G21" t="s">
        <v>11</v>
      </c>
      <c r="K21">
        <v>20</v>
      </c>
      <c r="L21">
        <v>80</v>
      </c>
      <c r="M21">
        <v>34.297800000000002</v>
      </c>
      <c r="N21">
        <v>4.9935999999999998</v>
      </c>
      <c r="O21">
        <v>32.043700000000001</v>
      </c>
      <c r="P21">
        <v>4.2537000000000003</v>
      </c>
      <c r="Q21">
        <f>94/(250/1000)</f>
        <v>376</v>
      </c>
      <c r="R21">
        <f t="shared" si="1"/>
        <v>133.61044020257111</v>
      </c>
      <c r="S21">
        <f t="shared" si="2"/>
        <v>19.453058044409818</v>
      </c>
      <c r="T21">
        <f t="shared" si="3"/>
        <v>124.82937280872615</v>
      </c>
      <c r="U21">
        <f t="shared" si="4"/>
        <v>16.570705103233347</v>
      </c>
      <c r="V21">
        <f t="shared" si="5"/>
        <v>1.2724803828816296</v>
      </c>
      <c r="W21">
        <f t="shared" si="6"/>
        <v>0.18526721947056971</v>
      </c>
      <c r="X21">
        <f t="shared" si="7"/>
        <v>1.1888511696069157</v>
      </c>
      <c r="Y21">
        <f t="shared" si="8"/>
        <v>0.15781623907841283</v>
      </c>
      <c r="Z21">
        <f t="shared" si="9"/>
        <v>31.746031746031743</v>
      </c>
      <c r="AA21">
        <f t="shared" si="10"/>
        <v>126.98412698412697</v>
      </c>
      <c r="AB21">
        <f t="shared" si="11"/>
        <v>317.46031746031741</v>
      </c>
      <c r="AC21">
        <f t="shared" si="12"/>
        <v>2.6913572367080552E-3</v>
      </c>
      <c r="AE21">
        <f t="shared" si="13"/>
        <v>9.2805421955450187E-3</v>
      </c>
      <c r="AG21">
        <f t="shared" si="14"/>
        <v>2.3537165916376362E-2</v>
      </c>
      <c r="AH21">
        <f t="shared" si="15"/>
        <v>10.14473741746469</v>
      </c>
      <c r="AI21">
        <f t="shared" si="16"/>
        <v>0.25</v>
      </c>
      <c r="AJ21">
        <f t="shared" si="17"/>
        <v>1.1795547359168876</v>
      </c>
      <c r="AK21">
        <f t="shared" si="18"/>
        <v>4.3787629994526546E-2</v>
      </c>
      <c r="AM21">
        <f t="shared" si="19"/>
        <v>0.10476190476190475</v>
      </c>
      <c r="AN21">
        <f t="shared" si="20"/>
        <v>8.8814788811365813E-2</v>
      </c>
      <c r="AO21">
        <f t="shared" si="21"/>
        <v>4.0942357151664319E-2</v>
      </c>
      <c r="AP21">
        <f t="shared" si="22"/>
        <v>0.11300074811176934</v>
      </c>
      <c r="AQ21">
        <f t="shared" si="23"/>
        <v>2.7998937468440281E-2</v>
      </c>
      <c r="AR21">
        <f t="shared" si="24"/>
        <v>3.9274534176191714E-2</v>
      </c>
      <c r="AS21">
        <f t="shared" si="25"/>
        <v>2.4643318965517243E-2</v>
      </c>
    </row>
    <row r="22" spans="2:45" x14ac:dyDescent="0.2">
      <c r="B22">
        <v>25</v>
      </c>
      <c r="C22">
        <v>5.9013000000000003E-2</v>
      </c>
      <c r="D22">
        <v>2.3617999999999998E-3</v>
      </c>
      <c r="E22">
        <v>20.94</v>
      </c>
      <c r="F22">
        <v>1.9314</v>
      </c>
      <c r="G22" t="s">
        <v>11</v>
      </c>
      <c r="K22">
        <v>20</v>
      </c>
      <c r="L22">
        <v>90</v>
      </c>
      <c r="M22">
        <v>34.554699999999997</v>
      </c>
      <c r="N22">
        <v>6.5109000000000004</v>
      </c>
      <c r="O22">
        <v>31.989699999999999</v>
      </c>
      <c r="P22">
        <v>6.2013999999999996</v>
      </c>
      <c r="Q22">
        <f>97/(250/1000)</f>
        <v>388</v>
      </c>
      <c r="R22">
        <f t="shared" si="1"/>
        <v>134.61121932216594</v>
      </c>
      <c r="S22">
        <f t="shared" si="2"/>
        <v>25.3638488507986</v>
      </c>
      <c r="T22">
        <f t="shared" si="3"/>
        <v>124.61901051811454</v>
      </c>
      <c r="U22">
        <f t="shared" si="4"/>
        <v>24.158161277756136</v>
      </c>
      <c r="V22">
        <f t="shared" si="5"/>
        <v>1.2820116125920566</v>
      </c>
      <c r="W22">
        <f t="shared" si="6"/>
        <v>0.24156046524570096</v>
      </c>
      <c r="X22">
        <f t="shared" si="7"/>
        <v>1.1868477192201385</v>
      </c>
      <c r="Y22">
        <f t="shared" si="8"/>
        <v>0.23007772645482033</v>
      </c>
      <c r="Z22">
        <f t="shared" si="9"/>
        <v>31.746031746031743</v>
      </c>
      <c r="AA22">
        <f t="shared" si="10"/>
        <v>142.85714285714283</v>
      </c>
      <c r="AB22">
        <f t="shared" si="11"/>
        <v>317.46031746031741</v>
      </c>
      <c r="AC22">
        <f t="shared" si="12"/>
        <v>2.6913572367080552E-3</v>
      </c>
      <c r="AE22">
        <f t="shared" si="13"/>
        <v>9.2805421955450187E-3</v>
      </c>
      <c r="AG22">
        <f t="shared" si="14"/>
        <v>2.3537165916376362E-2</v>
      </c>
      <c r="AH22">
        <f t="shared" si="15"/>
        <v>11.412829594647773</v>
      </c>
      <c r="AI22">
        <f t="shared" si="16"/>
        <v>0.22222222222222221</v>
      </c>
      <c r="AJ22">
        <f t="shared" si="17"/>
        <v>1.1795547359168876</v>
      </c>
      <c r="AK22">
        <f t="shared" si="18"/>
        <v>4.926108374384236E-2</v>
      </c>
      <c r="AM22">
        <f t="shared" si="19"/>
        <v>0.10476190476190475</v>
      </c>
      <c r="AN22">
        <f t="shared" si="20"/>
        <v>8.8814788811365813E-2</v>
      </c>
      <c r="AO22">
        <f t="shared" si="21"/>
        <v>3.5671747988690571E-2</v>
      </c>
      <c r="AP22">
        <f t="shared" si="22"/>
        <v>9.8453887113646055E-2</v>
      </c>
      <c r="AQ22">
        <f t="shared" si="23"/>
        <v>2.4308520314387825E-2</v>
      </c>
      <c r="AR22">
        <f t="shared" si="24"/>
        <v>3.4097930070960604E-2</v>
      </c>
      <c r="AS22">
        <f t="shared" si="25"/>
        <v>1.9471264367816096E-2</v>
      </c>
    </row>
    <row r="23" spans="2:45" x14ac:dyDescent="0.2">
      <c r="B23">
        <v>19.8</v>
      </c>
      <c r="C23">
        <v>4.7166E-2</v>
      </c>
      <c r="D23">
        <v>2.3763999999999999E-3</v>
      </c>
      <c r="E23">
        <v>20.94</v>
      </c>
      <c r="F23">
        <v>1.5436000000000001</v>
      </c>
      <c r="G23" t="s">
        <v>11</v>
      </c>
      <c r="K23">
        <v>40</v>
      </c>
      <c r="L23">
        <v>100</v>
      </c>
      <c r="M23">
        <v>47.617899999999999</v>
      </c>
      <c r="N23">
        <v>9.0471000000000004</v>
      </c>
      <c r="O23">
        <v>39.766100000000002</v>
      </c>
      <c r="P23">
        <v>7.4960000000000004</v>
      </c>
      <c r="Q23">
        <f>42/(250/1000)</f>
        <v>168</v>
      </c>
      <c r="R23">
        <f t="shared" si="1"/>
        <v>185.50019477989872</v>
      </c>
      <c r="S23">
        <f t="shared" si="2"/>
        <v>35.243864433190495</v>
      </c>
      <c r="T23">
        <f t="shared" si="3"/>
        <v>154.91273860537595</v>
      </c>
      <c r="U23">
        <f t="shared" si="4"/>
        <v>29.201402415270749</v>
      </c>
      <c r="V23">
        <f t="shared" si="5"/>
        <v>1.7666685217133211</v>
      </c>
      <c r="W23">
        <f t="shared" si="6"/>
        <v>0.33565585174467139</v>
      </c>
      <c r="X23">
        <f t="shared" si="7"/>
        <v>1.4753594152892948</v>
      </c>
      <c r="Y23">
        <f t="shared" si="8"/>
        <v>0.27810859443114999</v>
      </c>
      <c r="Z23">
        <f t="shared" si="9"/>
        <v>63.492063492063487</v>
      </c>
      <c r="AA23">
        <f t="shared" si="10"/>
        <v>158.73015873015871</v>
      </c>
      <c r="AB23">
        <f t="shared" si="11"/>
        <v>634.92063492063482</v>
      </c>
      <c r="AC23">
        <f t="shared" si="12"/>
        <v>2.6886467066806596E-3</v>
      </c>
      <c r="AE23">
        <f t="shared" si="13"/>
        <v>9.2711955402781376E-3</v>
      </c>
      <c r="AG23">
        <f t="shared" si="14"/>
        <v>4.7026922151045689E-2</v>
      </c>
      <c r="AH23">
        <f t="shared" si="15"/>
        <v>12.68092177183086</v>
      </c>
      <c r="AI23">
        <f t="shared" si="16"/>
        <v>0.4</v>
      </c>
      <c r="AJ23">
        <f t="shared" si="17"/>
        <v>2.3614877824706584</v>
      </c>
      <c r="AK23">
        <f t="shared" si="18"/>
        <v>5.4734537493158181E-2</v>
      </c>
      <c r="AM23">
        <f t="shared" si="19"/>
        <v>0.2095238095238095</v>
      </c>
      <c r="AN23">
        <f t="shared" si="20"/>
        <v>8.8725341320461754E-2</v>
      </c>
      <c r="AO23">
        <f t="shared" si="21"/>
        <v>6.3949731119312028E-2</v>
      </c>
      <c r="AP23">
        <f t="shared" si="22"/>
        <v>0.12920630326381646</v>
      </c>
      <c r="AQ23">
        <f t="shared" si="23"/>
        <v>4.9213644731718048E-2</v>
      </c>
      <c r="AR23">
        <f t="shared" si="24"/>
        <v>6.2215776030368271E-2</v>
      </c>
      <c r="AS23">
        <f t="shared" si="25"/>
        <v>3.1543448275862078E-2</v>
      </c>
    </row>
    <row r="24" spans="2:45" x14ac:dyDescent="0.2">
      <c r="B24">
        <v>15.8</v>
      </c>
      <c r="C24">
        <v>3.8420999999999997E-2</v>
      </c>
      <c r="D24">
        <v>2.4369999999999999E-3</v>
      </c>
      <c r="E24">
        <v>20.94</v>
      </c>
      <c r="F24">
        <v>1.2574000000000001</v>
      </c>
      <c r="G24" t="s">
        <v>11</v>
      </c>
      <c r="K24">
        <v>40</v>
      </c>
      <c r="L24">
        <v>40</v>
      </c>
      <c r="M24">
        <v>243.15690000000001</v>
      </c>
      <c r="N24">
        <v>85.203320000000005</v>
      </c>
      <c r="O24">
        <v>66.478999999999999</v>
      </c>
      <c r="P24">
        <v>4.6005539999999998</v>
      </c>
      <c r="Q24">
        <f>6/(250/2000)</f>
        <v>48</v>
      </c>
      <c r="R24">
        <f t="shared" si="1"/>
        <v>947.24152707440601</v>
      </c>
      <c r="S24">
        <f t="shared" si="2"/>
        <v>331.917880794702</v>
      </c>
      <c r="T24">
        <f t="shared" si="3"/>
        <v>258.97545773276198</v>
      </c>
      <c r="U24">
        <f t="shared" si="4"/>
        <v>17.921908843007401</v>
      </c>
      <c r="V24">
        <f t="shared" si="5"/>
        <v>9.0213478768991049</v>
      </c>
      <c r="W24">
        <f t="shared" si="6"/>
        <v>3.1611226742352572</v>
      </c>
      <c r="X24">
        <f t="shared" si="7"/>
        <v>2.4664329307882094</v>
      </c>
      <c r="Y24">
        <f t="shared" si="8"/>
        <v>0.17068484612388002</v>
      </c>
      <c r="Z24">
        <f t="shared" si="9"/>
        <v>63.492063492063487</v>
      </c>
      <c r="AA24">
        <f t="shared" si="10"/>
        <v>63.492063492063487</v>
      </c>
      <c r="AB24">
        <f t="shared" si="11"/>
        <v>634.92063492063482</v>
      </c>
      <c r="AC24">
        <f t="shared" si="12"/>
        <v>2.6886467066806596E-3</v>
      </c>
      <c r="AE24">
        <f t="shared" si="13"/>
        <v>9.2711955402781376E-3</v>
      </c>
      <c r="AG24">
        <f t="shared" si="14"/>
        <v>4.7026922151045689E-2</v>
      </c>
      <c r="AH24">
        <f t="shared" si="15"/>
        <v>5.0723687087323448</v>
      </c>
      <c r="AI24">
        <f t="shared" si="16"/>
        <v>1</v>
      </c>
      <c r="AJ24">
        <f t="shared" si="17"/>
        <v>2.3614877824706584</v>
      </c>
      <c r="AK24">
        <f t="shared" si="18"/>
        <v>2.1893814997263273E-2</v>
      </c>
      <c r="AM24">
        <f t="shared" si="19"/>
        <v>0.2095238095238095</v>
      </c>
      <c r="AN24">
        <f t="shared" si="20"/>
        <v>8.8725341320461754E-2</v>
      </c>
      <c r="AO24">
        <f t="shared" si="21"/>
        <v>0.1868222219229789</v>
      </c>
      <c r="AP24">
        <f t="shared" si="22"/>
        <v>0.3774622385380268</v>
      </c>
      <c r="AQ24">
        <f t="shared" si="23"/>
        <v>0.14777927793137016</v>
      </c>
      <c r="AR24">
        <f t="shared" si="24"/>
        <v>0.18682222192297893</v>
      </c>
      <c r="AS24">
        <f t="shared" si="25"/>
        <v>0.19714655172413795</v>
      </c>
    </row>
    <row r="25" spans="2:45" x14ac:dyDescent="0.2">
      <c r="B25">
        <v>12.5</v>
      </c>
      <c r="C25">
        <v>2.9701000000000002E-2</v>
      </c>
      <c r="D25">
        <v>2.3716000000000002E-3</v>
      </c>
      <c r="E25">
        <v>20.94</v>
      </c>
      <c r="F25">
        <v>0.97204999999999997</v>
      </c>
      <c r="G25" t="s">
        <v>11</v>
      </c>
      <c r="K25">
        <v>40</v>
      </c>
      <c r="L25">
        <v>60</v>
      </c>
      <c r="M25">
        <v>88.342749999999995</v>
      </c>
      <c r="N25">
        <v>19.244700000000002</v>
      </c>
      <c r="O25">
        <v>61.781999999999996</v>
      </c>
      <c r="P25">
        <v>6.1595899999999997</v>
      </c>
      <c r="Q25">
        <f>18/(250/2000)</f>
        <v>144</v>
      </c>
      <c r="R25">
        <f t="shared" si="1"/>
        <v>344.14783794312427</v>
      </c>
      <c r="S25">
        <f t="shared" si="2"/>
        <v>74.969614335800557</v>
      </c>
      <c r="T25">
        <f t="shared" si="3"/>
        <v>240.67783404752629</v>
      </c>
      <c r="U25">
        <f t="shared" si="4"/>
        <v>23.995286326451112</v>
      </c>
      <c r="V25">
        <f t="shared" si="5"/>
        <v>3.2775984566011838</v>
      </c>
      <c r="W25">
        <f t="shared" si="6"/>
        <v>0.71399632700762439</v>
      </c>
      <c r="X25">
        <f t="shared" si="7"/>
        <v>2.292169848071679</v>
      </c>
      <c r="Y25">
        <f t="shared" si="8"/>
        <v>0.22852653644239154</v>
      </c>
      <c r="Z25">
        <f t="shared" si="9"/>
        <v>63.492063492063487</v>
      </c>
      <c r="AA25">
        <f t="shared" si="10"/>
        <v>95.238095238095227</v>
      </c>
      <c r="AB25">
        <f t="shared" si="11"/>
        <v>634.92063492063482</v>
      </c>
      <c r="AC25">
        <f t="shared" si="12"/>
        <v>2.6886467066806596E-3</v>
      </c>
      <c r="AE25">
        <f t="shared" si="13"/>
        <v>9.2711955402781376E-3</v>
      </c>
      <c r="AG25">
        <f t="shared" si="14"/>
        <v>4.7026922151045689E-2</v>
      </c>
      <c r="AH25">
        <f t="shared" si="15"/>
        <v>7.6085530630985172</v>
      </c>
      <c r="AI25">
        <f t="shared" si="16"/>
        <v>0.66666666666666663</v>
      </c>
      <c r="AJ25">
        <f t="shared" si="17"/>
        <v>2.3614877824706584</v>
      </c>
      <c r="AK25">
        <f t="shared" si="18"/>
        <v>3.2840722495894911E-2</v>
      </c>
      <c r="AM25">
        <f t="shared" si="19"/>
        <v>0.2095238095238095</v>
      </c>
      <c r="AN25">
        <f t="shared" si="20"/>
        <v>8.8725341320461754E-2</v>
      </c>
      <c r="AO25">
        <f t="shared" si="21"/>
        <v>0.11625235511042585</v>
      </c>
      <c r="AP25">
        <f t="shared" si="22"/>
        <v>0.23488037848832408</v>
      </c>
      <c r="AQ25">
        <f t="shared" si="23"/>
        <v>9.084562755571568E-2</v>
      </c>
      <c r="AR25">
        <f t="shared" si="24"/>
        <v>0.1148468325838493</v>
      </c>
      <c r="AS25">
        <f t="shared" si="25"/>
        <v>8.7620689655172418E-2</v>
      </c>
    </row>
    <row r="26" spans="2:45" x14ac:dyDescent="0.2">
      <c r="B26">
        <v>9.99</v>
      </c>
      <c r="C26">
        <v>2.3418000000000001E-2</v>
      </c>
      <c r="D26">
        <v>2.3438000000000001E-3</v>
      </c>
      <c r="E26">
        <v>20.93</v>
      </c>
      <c r="F26">
        <v>0.76641999999999999</v>
      </c>
      <c r="G26" t="s">
        <v>11</v>
      </c>
      <c r="K26">
        <v>40</v>
      </c>
      <c r="L26">
        <v>80</v>
      </c>
      <c r="M26">
        <v>71.487200000000001</v>
      </c>
      <c r="N26">
        <v>16.016200000000001</v>
      </c>
      <c r="O26">
        <v>56.091700000000003</v>
      </c>
      <c r="P26">
        <v>7.1519079999999997</v>
      </c>
      <c r="Q26">
        <f>28/(250/2000)</f>
        <v>224</v>
      </c>
      <c r="R26">
        <f t="shared" si="1"/>
        <v>278.48539150759643</v>
      </c>
      <c r="S26">
        <f t="shared" si="2"/>
        <v>62.392676275808348</v>
      </c>
      <c r="T26">
        <f t="shared" si="3"/>
        <v>218.51071289442933</v>
      </c>
      <c r="U26">
        <f t="shared" si="4"/>
        <v>27.860958317101677</v>
      </c>
      <c r="V26">
        <f t="shared" si="5"/>
        <v>2.6522418238818708</v>
      </c>
      <c r="W26">
        <f t="shared" si="6"/>
        <v>0.59421596453150805</v>
      </c>
      <c r="X26">
        <f t="shared" si="7"/>
        <v>2.0810544085183746</v>
      </c>
      <c r="Y26">
        <f t="shared" si="8"/>
        <v>0.26534246016287311</v>
      </c>
      <c r="Z26">
        <f t="shared" si="9"/>
        <v>63.492063492063487</v>
      </c>
      <c r="AA26">
        <f t="shared" si="10"/>
        <v>126.98412698412697</v>
      </c>
      <c r="AB26">
        <f t="shared" si="11"/>
        <v>634.92063492063482</v>
      </c>
      <c r="AC26">
        <f t="shared" si="12"/>
        <v>2.6886467066806596E-3</v>
      </c>
      <c r="AE26">
        <f t="shared" si="13"/>
        <v>9.2711955402781376E-3</v>
      </c>
      <c r="AG26">
        <f t="shared" si="14"/>
        <v>4.7026922151045689E-2</v>
      </c>
      <c r="AH26">
        <f t="shared" si="15"/>
        <v>10.14473741746469</v>
      </c>
      <c r="AI26">
        <f t="shared" si="16"/>
        <v>0.5</v>
      </c>
      <c r="AJ26">
        <f t="shared" si="17"/>
        <v>2.3614877824706584</v>
      </c>
      <c r="AK26">
        <f t="shared" si="18"/>
        <v>4.3787629994526546E-2</v>
      </c>
      <c r="AM26">
        <f t="shared" si="19"/>
        <v>0.2095238095238095</v>
      </c>
      <c r="AN26">
        <f t="shared" si="20"/>
        <v>8.8725341320461754E-2</v>
      </c>
      <c r="AO26">
        <f t="shared" si="21"/>
        <v>8.3027782317758259E-2</v>
      </c>
      <c r="AP26">
        <f t="shared" si="22"/>
        <v>0.16775227407063759</v>
      </c>
      <c r="AQ26">
        <f t="shared" si="23"/>
        <v>6.4324666823324397E-2</v>
      </c>
      <c r="AR26">
        <f t="shared" si="24"/>
        <v>8.1319095265641406E-2</v>
      </c>
      <c r="AS26">
        <f t="shared" si="25"/>
        <v>4.9286637931034487E-2</v>
      </c>
    </row>
    <row r="27" spans="2:45" x14ac:dyDescent="0.2">
      <c r="B27">
        <v>7.92</v>
      </c>
      <c r="C27">
        <v>1.8533999999999998E-2</v>
      </c>
      <c r="D27">
        <v>2.3400000000000001E-3</v>
      </c>
      <c r="E27">
        <v>20.93</v>
      </c>
      <c r="F27">
        <v>0.60658999999999996</v>
      </c>
      <c r="G27" t="s">
        <v>11</v>
      </c>
      <c r="K27">
        <v>5</v>
      </c>
      <c r="L27">
        <v>100</v>
      </c>
      <c r="M27">
        <v>12.0435</v>
      </c>
      <c r="N27">
        <v>2.1328999999999998</v>
      </c>
      <c r="O27">
        <v>10.1548</v>
      </c>
      <c r="P27">
        <v>2.52</v>
      </c>
      <c r="Q27">
        <f>108/(250/1000)</f>
        <v>432</v>
      </c>
      <c r="R27">
        <f t="shared" si="1"/>
        <v>46.916634203350213</v>
      </c>
      <c r="S27">
        <f t="shared" si="2"/>
        <v>8.3089209193611211</v>
      </c>
      <c r="T27">
        <f t="shared" si="3"/>
        <v>39.559018309310481</v>
      </c>
      <c r="U27">
        <f t="shared" si="4"/>
        <v>9.8169068952084153</v>
      </c>
      <c r="V27">
        <f t="shared" si="5"/>
        <v>0.44682508765095441</v>
      </c>
      <c r="W27">
        <f t="shared" si="6"/>
        <v>7.9132580184391635E-2</v>
      </c>
      <c r="X27">
        <f t="shared" si="7"/>
        <v>0.37675255532676649</v>
      </c>
      <c r="Y27">
        <f t="shared" si="8"/>
        <v>9.3494351382937282E-2</v>
      </c>
      <c r="Z27">
        <f t="shared" si="9"/>
        <v>7.9365079365079358</v>
      </c>
      <c r="AA27">
        <f t="shared" si="10"/>
        <v>158.73015873015871</v>
      </c>
      <c r="AB27">
        <f t="shared" si="11"/>
        <v>79.365079365079353</v>
      </c>
      <c r="AC27">
        <f t="shared" si="12"/>
        <v>2.6949947531779337E-3</v>
      </c>
      <c r="AE27">
        <f t="shared" si="13"/>
        <v>9.2930853557859783E-3</v>
      </c>
      <c r="AG27">
        <f t="shared" si="14"/>
        <v>5.8922444207834485E-3</v>
      </c>
      <c r="AH27">
        <f t="shared" si="15"/>
        <v>12.68092177183086</v>
      </c>
      <c r="AI27">
        <f t="shared" si="16"/>
        <v>0.05</v>
      </c>
      <c r="AJ27">
        <f t="shared" si="17"/>
        <v>0.29449066374430666</v>
      </c>
      <c r="AK27">
        <f t="shared" si="18"/>
        <v>5.4734537493158181E-2</v>
      </c>
      <c r="AM27">
        <f t="shared" si="19"/>
        <v>2.6190476190476188E-2</v>
      </c>
      <c r="AN27">
        <f t="shared" si="20"/>
        <v>8.8934826854871807E-2</v>
      </c>
      <c r="AO27">
        <f t="shared" si="21"/>
        <v>7.668085312906788E-3</v>
      </c>
      <c r="AP27">
        <f t="shared" si="22"/>
        <v>3.9493207625509549E-2</v>
      </c>
      <c r="AQ27">
        <f t="shared" si="23"/>
        <v>4.0586120963417988E-3</v>
      </c>
      <c r="AR27">
        <f t="shared" si="24"/>
        <v>7.0089996161326485E-3</v>
      </c>
      <c r="AS27">
        <f t="shared" si="25"/>
        <v>3.9429310344827597E-3</v>
      </c>
    </row>
    <row r="28" spans="2:45" x14ac:dyDescent="0.2">
      <c r="B28">
        <v>6.3</v>
      </c>
      <c r="C28">
        <v>1.6619999999999999E-2</v>
      </c>
      <c r="D28">
        <v>2.637E-3</v>
      </c>
      <c r="E28">
        <v>20.92</v>
      </c>
      <c r="F28">
        <v>0.54391999999999996</v>
      </c>
      <c r="G28" t="s">
        <v>11</v>
      </c>
      <c r="K28">
        <v>5</v>
      </c>
      <c r="L28">
        <v>10</v>
      </c>
      <c r="M28">
        <v>28.662500000000001</v>
      </c>
      <c r="N28">
        <v>0.1862</v>
      </c>
      <c r="O28">
        <v>28.177</v>
      </c>
      <c r="P28">
        <v>0.1444</v>
      </c>
      <c r="Q28">
        <f>136/(250/250)</f>
        <v>136</v>
      </c>
      <c r="R28">
        <f t="shared" si="1"/>
        <v>111.65757693806</v>
      </c>
      <c r="S28">
        <f t="shared" si="2"/>
        <v>0.72536034281262185</v>
      </c>
      <c r="T28">
        <f t="shared" si="3"/>
        <v>109.76626412154266</v>
      </c>
      <c r="U28">
        <f t="shared" si="4"/>
        <v>0.56252434748733937</v>
      </c>
      <c r="V28">
        <f t="shared" si="5"/>
        <v>1.0634054946481906</v>
      </c>
      <c r="W28">
        <f t="shared" si="6"/>
        <v>6.9081937410725887E-3</v>
      </c>
      <c r="X28">
        <f t="shared" si="7"/>
        <v>1.0453929916337397</v>
      </c>
      <c r="Y28">
        <f t="shared" si="8"/>
        <v>5.3573747379746604E-3</v>
      </c>
      <c r="Z28">
        <f t="shared" si="9"/>
        <v>7.9365079365079358</v>
      </c>
      <c r="AA28">
        <f t="shared" si="10"/>
        <v>15.873015873015872</v>
      </c>
      <c r="AB28">
        <f t="shared" si="11"/>
        <v>79.365079365079353</v>
      </c>
      <c r="AC28">
        <f t="shared" si="12"/>
        <v>2.6949947531779337E-3</v>
      </c>
      <c r="AE28">
        <f t="shared" si="13"/>
        <v>9.2930853557859783E-3</v>
      </c>
      <c r="AG28">
        <f t="shared" si="14"/>
        <v>5.8922444207834485E-3</v>
      </c>
      <c r="AH28">
        <f t="shared" si="15"/>
        <v>1.2680921771830862</v>
      </c>
      <c r="AI28">
        <f t="shared" si="16"/>
        <v>0.5</v>
      </c>
      <c r="AJ28">
        <f t="shared" si="17"/>
        <v>0.29449066374430666</v>
      </c>
      <c r="AK28">
        <f t="shared" si="18"/>
        <v>5.4734537493158182E-3</v>
      </c>
      <c r="AM28">
        <f t="shared" si="19"/>
        <v>2.6190476190476188E-2</v>
      </c>
      <c r="AN28">
        <f t="shared" si="20"/>
        <v>8.8934826854871807E-2</v>
      </c>
      <c r="AO28">
        <f t="shared" si="21"/>
        <v>0.11341929307509857</v>
      </c>
      <c r="AP28">
        <f t="shared" si="22"/>
        <v>0.58414734674559754</v>
      </c>
      <c r="AQ28">
        <f t="shared" si="23"/>
        <v>6.4324666823324397E-2</v>
      </c>
      <c r="AR28">
        <f t="shared" si="24"/>
        <v>0.11108515777571192</v>
      </c>
      <c r="AS28">
        <f t="shared" si="25"/>
        <v>0.39429310344827589</v>
      </c>
    </row>
    <row r="29" spans="2:45" x14ac:dyDescent="0.2">
      <c r="B29">
        <v>5.01</v>
      </c>
      <c r="C29">
        <v>1.3287E-2</v>
      </c>
      <c r="D29">
        <v>2.6524000000000001E-3</v>
      </c>
      <c r="E29">
        <v>20.91</v>
      </c>
      <c r="F29">
        <v>0.43486000000000002</v>
      </c>
      <c r="G29" t="s">
        <v>11</v>
      </c>
      <c r="K29">
        <v>5</v>
      </c>
      <c r="L29">
        <v>20</v>
      </c>
      <c r="M29">
        <v>22.5273</v>
      </c>
      <c r="N29">
        <v>0.24349999999999999</v>
      </c>
      <c r="O29">
        <v>20.7257</v>
      </c>
      <c r="P29">
        <v>0.45050000000000001</v>
      </c>
      <c r="Q29">
        <f>10/(250/250)</f>
        <v>10</v>
      </c>
      <c r="R29">
        <f t="shared" si="1"/>
        <v>87.757304246201798</v>
      </c>
      <c r="S29">
        <f t="shared" si="2"/>
        <v>0.94857810673938459</v>
      </c>
      <c r="T29">
        <f t="shared" si="3"/>
        <v>80.738994935722644</v>
      </c>
      <c r="U29">
        <f t="shared" si="4"/>
        <v>1.7549668874172186</v>
      </c>
      <c r="V29">
        <f t="shared" si="5"/>
        <v>0.8357838499638266</v>
      </c>
      <c r="W29">
        <f t="shared" si="6"/>
        <v>9.0340772070417585E-3</v>
      </c>
      <c r="X29">
        <f t="shared" si="7"/>
        <v>0.76894280891164424</v>
      </c>
      <c r="Y29">
        <f t="shared" si="8"/>
        <v>1.6713970356354461E-2</v>
      </c>
      <c r="Z29">
        <f t="shared" si="9"/>
        <v>7.9365079365079358</v>
      </c>
      <c r="AA29">
        <f t="shared" si="10"/>
        <v>31.746031746031743</v>
      </c>
      <c r="AB29">
        <f t="shared" si="11"/>
        <v>79.365079365079353</v>
      </c>
      <c r="AC29">
        <f t="shared" si="12"/>
        <v>2.6949947531779337E-3</v>
      </c>
      <c r="AE29">
        <f t="shared" si="13"/>
        <v>9.2930853557859783E-3</v>
      </c>
      <c r="AG29">
        <f t="shared" si="14"/>
        <v>5.8922444207834485E-3</v>
      </c>
      <c r="AH29">
        <f t="shared" si="15"/>
        <v>2.5361843543661724</v>
      </c>
      <c r="AI29">
        <f t="shared" si="16"/>
        <v>0.25</v>
      </c>
      <c r="AJ29">
        <f t="shared" si="17"/>
        <v>0.29449066374430666</v>
      </c>
      <c r="AK29">
        <f t="shared" si="18"/>
        <v>1.0946907498631636E-2</v>
      </c>
      <c r="AM29">
        <f t="shared" si="19"/>
        <v>2.6190476190476188E-2</v>
      </c>
      <c r="AN29">
        <f t="shared" si="20"/>
        <v>8.8934826854871807E-2</v>
      </c>
      <c r="AO29">
        <f t="shared" si="21"/>
        <v>5.0405954276443815E-2</v>
      </c>
      <c r="AP29">
        <f t="shared" si="22"/>
        <v>0.25960754693884758</v>
      </c>
      <c r="AQ29">
        <f t="shared" si="23"/>
        <v>2.7998937468440281E-2</v>
      </c>
      <c r="AR29">
        <f t="shared" si="24"/>
        <v>4.8352623337742415E-2</v>
      </c>
      <c r="AS29">
        <f t="shared" si="25"/>
        <v>9.8573275862068974E-2</v>
      </c>
    </row>
    <row r="30" spans="2:45" x14ac:dyDescent="0.2">
      <c r="B30">
        <v>3.98</v>
      </c>
      <c r="C30">
        <v>9.2837000000000006E-3</v>
      </c>
      <c r="D30">
        <v>2.3333E-3</v>
      </c>
      <c r="E30">
        <v>20.91</v>
      </c>
      <c r="F30">
        <v>0.30382999999999999</v>
      </c>
      <c r="G30" t="s">
        <v>11</v>
      </c>
      <c r="K30">
        <v>5</v>
      </c>
      <c r="L30">
        <v>30</v>
      </c>
      <c r="M30">
        <v>19.7851</v>
      </c>
      <c r="N30">
        <v>0.48980000000000001</v>
      </c>
      <c r="O30">
        <v>18.7027</v>
      </c>
      <c r="P30">
        <v>0.30769999999999997</v>
      </c>
      <c r="Q30">
        <f>89/(250/250)</f>
        <v>89</v>
      </c>
      <c r="R30">
        <f t="shared" si="1"/>
        <v>77.074795481106349</v>
      </c>
      <c r="S30">
        <f t="shared" si="2"/>
        <v>1.9080638878067786</v>
      </c>
      <c r="T30">
        <f t="shared" si="3"/>
        <v>72.858200233735886</v>
      </c>
      <c r="U30">
        <f t="shared" si="4"/>
        <v>1.1986754966887416</v>
      </c>
      <c r="V30">
        <f t="shared" si="5"/>
        <v>0.73404567124863185</v>
      </c>
      <c r="W30">
        <f t="shared" si="6"/>
        <v>1.8172037026731223E-2</v>
      </c>
      <c r="X30">
        <f t="shared" si="7"/>
        <v>0.69388762127367509</v>
      </c>
      <c r="Y30">
        <f t="shared" si="8"/>
        <v>1.1415957111321349E-2</v>
      </c>
      <c r="Z30">
        <f t="shared" si="9"/>
        <v>7.9365079365079358</v>
      </c>
      <c r="AA30">
        <f t="shared" si="10"/>
        <v>47.619047619047613</v>
      </c>
      <c r="AB30">
        <f t="shared" si="11"/>
        <v>79.365079365079353</v>
      </c>
      <c r="AC30">
        <f t="shared" si="12"/>
        <v>2.6949947531779337E-3</v>
      </c>
      <c r="AE30">
        <f t="shared" si="13"/>
        <v>9.2930853557859783E-3</v>
      </c>
      <c r="AG30">
        <f t="shared" si="14"/>
        <v>5.8922444207834485E-3</v>
      </c>
      <c r="AH30">
        <f t="shared" si="15"/>
        <v>3.8042765315492586</v>
      </c>
      <c r="AI30">
        <f t="shared" si="16"/>
        <v>0.16666666666666666</v>
      </c>
      <c r="AJ30">
        <f t="shared" si="17"/>
        <v>0.29449066374430666</v>
      </c>
      <c r="AK30">
        <f t="shared" si="18"/>
        <v>1.6420361247947456E-2</v>
      </c>
      <c r="AM30">
        <f t="shared" si="19"/>
        <v>2.6190476190476188E-2</v>
      </c>
      <c r="AN30">
        <f t="shared" si="20"/>
        <v>8.8934826854871807E-2</v>
      </c>
      <c r="AO30">
        <f t="shared" si="21"/>
        <v>3.1365706048827824E-2</v>
      </c>
      <c r="AP30">
        <f t="shared" si="22"/>
        <v>0.16154389143559023</v>
      </c>
      <c r="AQ30">
        <f t="shared" si="23"/>
        <v>1.7212027835153975E-2</v>
      </c>
      <c r="AR30">
        <f t="shared" si="24"/>
        <v>2.9724224347085541E-2</v>
      </c>
      <c r="AS30">
        <f t="shared" si="25"/>
        <v>4.3810344827586209E-2</v>
      </c>
    </row>
    <row r="31" spans="2:45" x14ac:dyDescent="0.2">
      <c r="B31">
        <v>3.16</v>
      </c>
      <c r="C31">
        <v>8.3981999999999998E-3</v>
      </c>
      <c r="D31">
        <v>2.6565999999999998E-3</v>
      </c>
      <c r="E31">
        <v>20.9</v>
      </c>
      <c r="F31">
        <v>0.27485999999999999</v>
      </c>
      <c r="G31" t="s">
        <v>11</v>
      </c>
      <c r="K31">
        <v>5</v>
      </c>
      <c r="L31">
        <v>40</v>
      </c>
      <c r="M31">
        <v>15.796200000000001</v>
      </c>
      <c r="N31">
        <v>0.57479999999999998</v>
      </c>
      <c r="O31">
        <v>15.0227</v>
      </c>
      <c r="P31">
        <v>0.38119999999999998</v>
      </c>
      <c r="Q31">
        <f>42/(250/250)</f>
        <v>42</v>
      </c>
      <c r="R31">
        <f t="shared" si="1"/>
        <v>61.535644721464749</v>
      </c>
      <c r="S31">
        <f t="shared" si="2"/>
        <v>2.2391897156213481</v>
      </c>
      <c r="T31">
        <f t="shared" si="3"/>
        <v>58.522399688352166</v>
      </c>
      <c r="U31">
        <f t="shared" si="4"/>
        <v>1.4850019477989871</v>
      </c>
      <c r="V31">
        <f t="shared" si="5"/>
        <v>0.58605375925204528</v>
      </c>
      <c r="W31">
        <f t="shared" si="6"/>
        <v>2.1325616339250935E-2</v>
      </c>
      <c r="X31">
        <f t="shared" si="7"/>
        <v>0.55735618750811589</v>
      </c>
      <c r="Y31">
        <f t="shared" si="8"/>
        <v>1.4142875693323686E-2</v>
      </c>
      <c r="Z31">
        <f t="shared" si="9"/>
        <v>7.9365079365079358</v>
      </c>
      <c r="AA31">
        <f t="shared" si="10"/>
        <v>63.492063492063487</v>
      </c>
      <c r="AB31">
        <f t="shared" si="11"/>
        <v>79.365079365079353</v>
      </c>
      <c r="AC31">
        <f t="shared" si="12"/>
        <v>2.6949947531779337E-3</v>
      </c>
      <c r="AE31">
        <f t="shared" si="13"/>
        <v>9.2930853557859783E-3</v>
      </c>
      <c r="AG31">
        <f t="shared" si="14"/>
        <v>5.8922444207834485E-3</v>
      </c>
      <c r="AH31">
        <f t="shared" si="15"/>
        <v>5.0723687087323448</v>
      </c>
      <c r="AI31">
        <f t="shared" si="16"/>
        <v>0.125</v>
      </c>
      <c r="AJ31">
        <f t="shared" si="17"/>
        <v>0.29449066374430666</v>
      </c>
      <c r="AK31">
        <f t="shared" si="18"/>
        <v>2.1893814997263273E-2</v>
      </c>
      <c r="AM31">
        <f t="shared" si="19"/>
        <v>2.6190476190476188E-2</v>
      </c>
      <c r="AN31">
        <f t="shared" si="20"/>
        <v>8.8934826854871807E-2</v>
      </c>
      <c r="AO31">
        <f t="shared" si="21"/>
        <v>2.2401481772916933E-2</v>
      </c>
      <c r="AP31">
        <f t="shared" si="22"/>
        <v>0.11537513403610075</v>
      </c>
      <c r="AQ31">
        <f t="shared" si="23"/>
        <v>1.218724539242182E-2</v>
      </c>
      <c r="AR31">
        <f t="shared" si="24"/>
        <v>2.1046701741758489E-2</v>
      </c>
      <c r="AS31">
        <f t="shared" si="25"/>
        <v>2.4643318965517243E-2</v>
      </c>
    </row>
    <row r="32" spans="2:45" x14ac:dyDescent="0.2">
      <c r="B32">
        <v>2.5099999999999998</v>
      </c>
      <c r="C32">
        <v>7.0807999999999999E-3</v>
      </c>
      <c r="D32">
        <v>2.8203999999999998E-3</v>
      </c>
      <c r="E32">
        <v>20.9</v>
      </c>
      <c r="F32">
        <v>0.23174</v>
      </c>
      <c r="G32" t="s">
        <v>11</v>
      </c>
      <c r="K32">
        <v>5</v>
      </c>
      <c r="L32">
        <v>50</v>
      </c>
      <c r="M32">
        <v>15.253500000000001</v>
      </c>
      <c r="N32">
        <v>0.55510000000000004</v>
      </c>
      <c r="O32">
        <v>14.653499999999999</v>
      </c>
      <c r="P32">
        <v>0.53300000000000003</v>
      </c>
      <c r="Q32">
        <f>40/(250/250)</f>
        <v>40</v>
      </c>
      <c r="R32">
        <f t="shared" si="1"/>
        <v>59.421503700818079</v>
      </c>
      <c r="S32">
        <f t="shared" si="2"/>
        <v>2.1624464355278539</v>
      </c>
      <c r="T32">
        <f t="shared" si="3"/>
        <v>57.084144916244647</v>
      </c>
      <c r="U32">
        <f t="shared" si="4"/>
        <v>2.0763537202960656</v>
      </c>
      <c r="V32">
        <f t="shared" si="5"/>
        <v>0.56591908286493409</v>
      </c>
      <c r="W32">
        <f t="shared" si="6"/>
        <v>2.0594727957408132E-2</v>
      </c>
      <c r="X32">
        <f t="shared" si="7"/>
        <v>0.5436585230118538</v>
      </c>
      <c r="Y32">
        <f t="shared" si="8"/>
        <v>1.9774797336153005E-2</v>
      </c>
      <c r="Z32">
        <f t="shared" si="9"/>
        <v>7.9365079365079358</v>
      </c>
      <c r="AA32">
        <f t="shared" si="10"/>
        <v>79.365079365079353</v>
      </c>
      <c r="AB32">
        <f t="shared" si="11"/>
        <v>79.365079365079353</v>
      </c>
      <c r="AC32">
        <f t="shared" si="12"/>
        <v>2.6949947531779337E-3</v>
      </c>
      <c r="AE32">
        <f t="shared" si="13"/>
        <v>9.2930853557859783E-3</v>
      </c>
      <c r="AG32">
        <f t="shared" si="14"/>
        <v>5.8922444207834485E-3</v>
      </c>
      <c r="AH32">
        <f t="shared" si="15"/>
        <v>6.3404608859154301</v>
      </c>
      <c r="AI32">
        <f t="shared" si="16"/>
        <v>0.1</v>
      </c>
      <c r="AJ32">
        <f t="shared" si="17"/>
        <v>0.29449066374430666</v>
      </c>
      <c r="AK32">
        <f t="shared" si="18"/>
        <v>2.736726874657909E-2</v>
      </c>
      <c r="AM32">
        <f t="shared" si="19"/>
        <v>2.6190476190476188E-2</v>
      </c>
      <c r="AN32">
        <f t="shared" si="20"/>
        <v>8.8934826854871807E-2</v>
      </c>
      <c r="AO32">
        <f t="shared" si="21"/>
        <v>1.725408888520685E-2</v>
      </c>
      <c r="AP32">
        <f t="shared" si="22"/>
        <v>8.8864336653312601E-2</v>
      </c>
      <c r="AQ32">
        <f t="shared" si="23"/>
        <v>9.3242420772777761E-3</v>
      </c>
      <c r="AR32">
        <f t="shared" si="24"/>
        <v>1.6102452658452848E-2</v>
      </c>
      <c r="AS32">
        <f t="shared" si="25"/>
        <v>1.5771724137931039E-2</v>
      </c>
    </row>
    <row r="33" spans="2:45" x14ac:dyDescent="0.2">
      <c r="B33">
        <v>1.99</v>
      </c>
      <c r="C33">
        <v>4.7255999999999999E-3</v>
      </c>
      <c r="D33">
        <v>2.3687999999999999E-3</v>
      </c>
      <c r="E33">
        <v>20.91</v>
      </c>
      <c r="F33">
        <v>0.15465999999999999</v>
      </c>
      <c r="G33" t="s">
        <v>11</v>
      </c>
      <c r="K33">
        <v>5</v>
      </c>
      <c r="L33">
        <v>60</v>
      </c>
      <c r="M33">
        <v>14.595499999999999</v>
      </c>
      <c r="N33">
        <v>0.7208</v>
      </c>
      <c r="O33">
        <v>13.8933</v>
      </c>
      <c r="P33">
        <v>0.62450000000000006</v>
      </c>
      <c r="Q33">
        <f>45/(250/250)</f>
        <v>45</v>
      </c>
      <c r="R33">
        <f t="shared" si="1"/>
        <v>56.858200233735879</v>
      </c>
      <c r="S33">
        <f t="shared" si="2"/>
        <v>2.8079470198675498</v>
      </c>
      <c r="T33">
        <f t="shared" si="3"/>
        <v>54.122711336190108</v>
      </c>
      <c r="U33">
        <f t="shared" si="4"/>
        <v>2.432800934943514</v>
      </c>
      <c r="V33">
        <f t="shared" si="5"/>
        <v>0.5415066688927227</v>
      </c>
      <c r="W33">
        <f t="shared" si="6"/>
        <v>2.674235257016714E-2</v>
      </c>
      <c r="X33">
        <f t="shared" si="7"/>
        <v>0.51545439367800105</v>
      </c>
      <c r="Y33">
        <f t="shared" si="8"/>
        <v>2.3169532713747752E-2</v>
      </c>
      <c r="Z33">
        <f t="shared" si="9"/>
        <v>7.9365079365079358</v>
      </c>
      <c r="AA33">
        <f t="shared" si="10"/>
        <v>95.238095238095227</v>
      </c>
      <c r="AB33">
        <f t="shared" si="11"/>
        <v>79.365079365079353</v>
      </c>
      <c r="AC33">
        <f t="shared" si="12"/>
        <v>2.6949947531779337E-3</v>
      </c>
      <c r="AE33">
        <f t="shared" si="13"/>
        <v>9.2930853557859783E-3</v>
      </c>
      <c r="AG33">
        <f t="shared" si="14"/>
        <v>5.8922444207834485E-3</v>
      </c>
      <c r="AH33">
        <f t="shared" si="15"/>
        <v>7.6085530630985172</v>
      </c>
      <c r="AI33">
        <f t="shared" si="16"/>
        <v>8.3333333333333329E-2</v>
      </c>
      <c r="AJ33">
        <f t="shared" si="17"/>
        <v>0.29449066374430666</v>
      </c>
      <c r="AK33">
        <f t="shared" si="18"/>
        <v>3.2840722495894911E-2</v>
      </c>
      <c r="AM33">
        <f t="shared" si="19"/>
        <v>2.6190476190476188E-2</v>
      </c>
      <c r="AN33">
        <f t="shared" si="20"/>
        <v>8.8934826854871807E-2</v>
      </c>
      <c r="AO33">
        <f t="shared" si="21"/>
        <v>1.3939589130561317E-2</v>
      </c>
      <c r="AP33">
        <f t="shared" si="22"/>
        <v>7.1793552794845686E-2</v>
      </c>
      <c r="AQ33">
        <f t="shared" si="23"/>
        <v>7.4919702636809301E-3</v>
      </c>
      <c r="AR33">
        <f t="shared" si="24"/>
        <v>1.2938220124447841E-2</v>
      </c>
      <c r="AS33">
        <f t="shared" si="25"/>
        <v>1.0952586206896552E-2</v>
      </c>
    </row>
    <row r="34" spans="2:45" x14ac:dyDescent="0.2">
      <c r="B34">
        <v>1.58</v>
      </c>
      <c r="C34">
        <v>5.3008999999999999E-3</v>
      </c>
      <c r="D34">
        <v>3.3454999999999999E-3</v>
      </c>
      <c r="E34">
        <v>20.92</v>
      </c>
      <c r="F34">
        <v>0.17349000000000001</v>
      </c>
      <c r="G34" t="s">
        <v>11</v>
      </c>
      <c r="K34">
        <v>5</v>
      </c>
      <c r="L34">
        <v>70</v>
      </c>
      <c r="M34">
        <v>14.215</v>
      </c>
      <c r="N34">
        <v>1.3405</v>
      </c>
      <c r="O34">
        <v>13.1608</v>
      </c>
      <c r="P34">
        <v>1.2016</v>
      </c>
      <c r="Q34">
        <f>115/(250/500)</f>
        <v>230</v>
      </c>
      <c r="R34">
        <f t="shared" si="1"/>
        <v>55.3759252045189</v>
      </c>
      <c r="S34">
        <f t="shared" si="2"/>
        <v>5.2220490845344765</v>
      </c>
      <c r="T34">
        <f t="shared" si="3"/>
        <v>51.269185820023374</v>
      </c>
      <c r="U34">
        <f t="shared" si="4"/>
        <v>4.6809505259057271</v>
      </c>
      <c r="V34">
        <f t="shared" si="5"/>
        <v>0.52738976385256098</v>
      </c>
      <c r="W34">
        <f t="shared" si="6"/>
        <v>4.9733800805090253E-2</v>
      </c>
      <c r="X34">
        <f t="shared" si="7"/>
        <v>0.4882779601906988</v>
      </c>
      <c r="Y34">
        <f t="shared" si="8"/>
        <v>4.4580481199102164E-2</v>
      </c>
      <c r="Z34">
        <f t="shared" si="9"/>
        <v>7.9365079365079358</v>
      </c>
      <c r="AA34">
        <f t="shared" si="10"/>
        <v>111.1111111111111</v>
      </c>
      <c r="AB34">
        <f t="shared" si="11"/>
        <v>79.365079365079353</v>
      </c>
      <c r="AC34">
        <f t="shared" si="12"/>
        <v>2.6949947531779337E-3</v>
      </c>
      <c r="AE34">
        <f t="shared" si="13"/>
        <v>9.2930853557859783E-3</v>
      </c>
      <c r="AG34">
        <f t="shared" si="14"/>
        <v>5.8922444207834485E-3</v>
      </c>
      <c r="AH34">
        <f t="shared" si="15"/>
        <v>8.8766452402816043</v>
      </c>
      <c r="AI34">
        <f t="shared" si="16"/>
        <v>7.1428571428571425E-2</v>
      </c>
      <c r="AJ34">
        <f t="shared" si="17"/>
        <v>0.29449066374430666</v>
      </c>
      <c r="AK34">
        <f t="shared" si="18"/>
        <v>3.8314176245210725E-2</v>
      </c>
      <c r="AM34">
        <f t="shared" si="19"/>
        <v>2.6190476190476188E-2</v>
      </c>
      <c r="AN34">
        <f t="shared" si="20"/>
        <v>8.8934826854871807E-2</v>
      </c>
      <c r="AO34">
        <f t="shared" si="21"/>
        <v>1.1639175836420898E-2</v>
      </c>
      <c r="AP34">
        <f t="shared" si="22"/>
        <v>5.9945653854930177E-2</v>
      </c>
      <c r="AQ34">
        <f t="shared" si="23"/>
        <v>6.2267280343334926E-3</v>
      </c>
      <c r="AR34">
        <f t="shared" si="24"/>
        <v>1.0753216460805239E-2</v>
      </c>
      <c r="AS34">
        <f t="shared" si="25"/>
        <v>8.0467980295566496E-3</v>
      </c>
    </row>
    <row r="35" spans="2:45" x14ac:dyDescent="0.2">
      <c r="K35">
        <v>5</v>
      </c>
      <c r="L35">
        <v>80</v>
      </c>
      <c r="M35">
        <v>12.0489</v>
      </c>
      <c r="N35">
        <v>1.5704</v>
      </c>
      <c r="O35">
        <v>10.993600000000001</v>
      </c>
      <c r="P35">
        <v>1.4119999999999999</v>
      </c>
      <c r="Q35">
        <f>99/(250/500)</f>
        <v>198</v>
      </c>
      <c r="R35">
        <f t="shared" si="1"/>
        <v>46.93767043241138</v>
      </c>
      <c r="S35">
        <f t="shared" si="2"/>
        <v>6.1176470588235299</v>
      </c>
      <c r="T35">
        <f t="shared" si="3"/>
        <v>42.826645890144142</v>
      </c>
      <c r="U35">
        <f t="shared" si="4"/>
        <v>5.5005843396961431</v>
      </c>
      <c r="V35">
        <f t="shared" si="5"/>
        <v>0.44702543268963219</v>
      </c>
      <c r="W35">
        <f t="shared" si="6"/>
        <v>5.8263305322128853E-2</v>
      </c>
      <c r="X35">
        <f t="shared" si="7"/>
        <v>0.40787281800137276</v>
      </c>
      <c r="Y35">
        <f t="shared" si="8"/>
        <v>5.2386517520915651E-2</v>
      </c>
      <c r="Z35">
        <f t="shared" si="9"/>
        <v>7.9365079365079358</v>
      </c>
      <c r="AA35">
        <f t="shared" si="10"/>
        <v>126.98412698412697</v>
      </c>
      <c r="AB35">
        <f t="shared" si="11"/>
        <v>79.365079365079353</v>
      </c>
      <c r="AC35">
        <f t="shared" si="12"/>
        <v>2.6949947531779337E-3</v>
      </c>
      <c r="AE35">
        <f t="shared" si="13"/>
        <v>9.2930853557859783E-3</v>
      </c>
      <c r="AG35">
        <f t="shared" si="14"/>
        <v>5.8922444207834485E-3</v>
      </c>
      <c r="AH35">
        <f t="shared" si="15"/>
        <v>10.14473741746469</v>
      </c>
      <c r="AI35">
        <f t="shared" si="16"/>
        <v>6.25E-2</v>
      </c>
      <c r="AJ35">
        <f t="shared" si="17"/>
        <v>0.29449066374430666</v>
      </c>
      <c r="AK35">
        <f t="shared" si="18"/>
        <v>4.3787629994526546E-2</v>
      </c>
      <c r="AM35">
        <f t="shared" si="19"/>
        <v>2.6190476190476188E-2</v>
      </c>
      <c r="AN35">
        <f t="shared" si="20"/>
        <v>8.8934826854871807E-2</v>
      </c>
      <c r="AO35">
        <f t="shared" si="21"/>
        <v>9.9556965605717678E-3</v>
      </c>
      <c r="AP35">
        <f t="shared" si="22"/>
        <v>5.1275171738300089E-2</v>
      </c>
      <c r="AQ35">
        <f t="shared" si="23"/>
        <v>5.3048066707004583E-3</v>
      </c>
      <c r="AR35">
        <f t="shared" si="24"/>
        <v>9.1611090284066873E-3</v>
      </c>
      <c r="AS35">
        <f t="shared" si="25"/>
        <v>6.1608297413793109E-3</v>
      </c>
    </row>
    <row r="36" spans="2:45" x14ac:dyDescent="0.2">
      <c r="K36">
        <v>5</v>
      </c>
      <c r="L36">
        <v>90</v>
      </c>
      <c r="M36">
        <v>14.383599999999999</v>
      </c>
      <c r="N36">
        <v>1.3934</v>
      </c>
      <c r="O36">
        <v>13.558299999999999</v>
      </c>
      <c r="P36">
        <v>1.1814</v>
      </c>
      <c r="Q36">
        <f>92/(250/1000)</f>
        <v>368</v>
      </c>
      <c r="R36">
        <f t="shared" si="1"/>
        <v>56.03272302298403</v>
      </c>
      <c r="S36">
        <f t="shared" si="2"/>
        <v>5.4281262173743672</v>
      </c>
      <c r="T36">
        <f t="shared" si="3"/>
        <v>52.817686014803272</v>
      </c>
      <c r="U36">
        <f t="shared" si="4"/>
        <v>4.6022594468250881</v>
      </c>
      <c r="V36">
        <f t="shared" si="5"/>
        <v>0.53364498117127646</v>
      </c>
      <c r="W36">
        <f t="shared" si="6"/>
        <v>5.1696440165470162E-2</v>
      </c>
      <c r="X36">
        <f t="shared" si="7"/>
        <v>0.50302558109336448</v>
      </c>
      <c r="Y36">
        <f t="shared" si="8"/>
        <v>4.3831042350715124E-2</v>
      </c>
      <c r="Z36">
        <f t="shared" si="9"/>
        <v>7.9365079365079358</v>
      </c>
      <c r="AA36">
        <f t="shared" si="10"/>
        <v>142.85714285714283</v>
      </c>
      <c r="AB36">
        <f t="shared" si="11"/>
        <v>79.365079365079353</v>
      </c>
      <c r="AC36">
        <f t="shared" si="12"/>
        <v>2.6949947531779337E-3</v>
      </c>
      <c r="AE36">
        <f t="shared" si="13"/>
        <v>9.2930853557859783E-3</v>
      </c>
      <c r="AG36">
        <f t="shared" si="14"/>
        <v>5.8922444207834485E-3</v>
      </c>
      <c r="AH36">
        <f t="shared" si="15"/>
        <v>11.412829594647773</v>
      </c>
      <c r="AI36">
        <f t="shared" si="16"/>
        <v>5.5555555555555552E-2</v>
      </c>
      <c r="AJ36">
        <f t="shared" si="17"/>
        <v>0.29449066374430666</v>
      </c>
      <c r="AK36">
        <f t="shared" si="18"/>
        <v>4.926108374384236E-2</v>
      </c>
      <c r="AM36">
        <f t="shared" si="19"/>
        <v>2.6190476190476188E-2</v>
      </c>
      <c r="AN36">
        <f t="shared" si="20"/>
        <v>8.8934826854871807E-2</v>
      </c>
      <c r="AO36">
        <f t="shared" si="21"/>
        <v>8.6740755410110327E-3</v>
      </c>
      <c r="AP36">
        <f t="shared" si="22"/>
        <v>4.4674394235533585E-2</v>
      </c>
      <c r="AQ36">
        <f t="shared" si="23"/>
        <v>4.6056033684840217E-3</v>
      </c>
      <c r="AR36">
        <f t="shared" si="24"/>
        <v>7.953623424830308E-3</v>
      </c>
      <c r="AS36">
        <f t="shared" si="25"/>
        <v>4.8678160919540239E-3</v>
      </c>
    </row>
    <row r="37" spans="2:45" x14ac:dyDescent="0.2">
      <c r="B37" s="3" t="s">
        <v>28</v>
      </c>
      <c r="D37" s="3" t="s">
        <v>35</v>
      </c>
      <c r="E37" s="3"/>
      <c r="K37">
        <v>60</v>
      </c>
      <c r="L37">
        <v>100</v>
      </c>
      <c r="M37">
        <v>136.68799999999999</v>
      </c>
      <c r="N37">
        <v>19.980799999999999</v>
      </c>
      <c r="O37">
        <v>59.492100000000001</v>
      </c>
      <c r="P37">
        <v>1.79501</v>
      </c>
      <c r="Q37">
        <f>21/(250/2000)</f>
        <v>168</v>
      </c>
      <c r="R37">
        <f t="shared" si="1"/>
        <v>532.48149590962214</v>
      </c>
      <c r="S37">
        <f t="shared" si="2"/>
        <v>77.837164004674719</v>
      </c>
      <c r="T37">
        <f t="shared" si="3"/>
        <v>231.75730424620181</v>
      </c>
      <c r="U37">
        <f t="shared" si="4"/>
        <v>6.992637319828594</v>
      </c>
      <c r="V37">
        <f t="shared" si="5"/>
        <v>5.0712523419964013</v>
      </c>
      <c r="W37">
        <f t="shared" si="6"/>
        <v>0.74130632385404494</v>
      </c>
      <c r="X37">
        <f t="shared" si="7"/>
        <v>2.207212421392398</v>
      </c>
      <c r="Y37">
        <f t="shared" si="8"/>
        <v>6.6596545903129467E-2</v>
      </c>
      <c r="Z37">
        <f t="shared" si="9"/>
        <v>95.238095238095227</v>
      </c>
      <c r="AA37">
        <f t="shared" si="10"/>
        <v>158.73015873015871</v>
      </c>
      <c r="AB37">
        <f t="shared" si="11"/>
        <v>952.38095238095218</v>
      </c>
      <c r="AC37">
        <f t="shared" si="12"/>
        <v>2.6866843975627613E-3</v>
      </c>
      <c r="AE37">
        <f t="shared" si="13"/>
        <v>9.2644289571129704E-3</v>
      </c>
      <c r="AG37">
        <f t="shared" si="14"/>
        <v>7.0488899319500489E-2</v>
      </c>
      <c r="AH37">
        <f t="shared" si="15"/>
        <v>12.68092177183086</v>
      </c>
      <c r="AI37">
        <f t="shared" si="16"/>
        <v>0.6</v>
      </c>
      <c r="AJ37">
        <f t="shared" si="17"/>
        <v>3.5448188601717017</v>
      </c>
      <c r="AK37">
        <f t="shared" si="18"/>
        <v>5.4734537493158181E-2</v>
      </c>
      <c r="AM37">
        <f t="shared" si="19"/>
        <v>0.31428571428571422</v>
      </c>
      <c r="AN37">
        <f t="shared" si="20"/>
        <v>8.8660585119571117E-2</v>
      </c>
      <c r="AO37">
        <f t="shared" si="21"/>
        <v>9.6705640799440912E-2</v>
      </c>
      <c r="AP37">
        <f t="shared" si="22"/>
        <v>0.16280049411231415</v>
      </c>
      <c r="AQ37">
        <f t="shared" si="23"/>
        <v>8.0056212703950802E-2</v>
      </c>
      <c r="AR37">
        <f t="shared" si="24"/>
        <v>9.5234947024335201E-2</v>
      </c>
      <c r="AS37">
        <f t="shared" si="25"/>
        <v>4.7315172413793113E-2</v>
      </c>
    </row>
    <row r="38" spans="2:45" x14ac:dyDescent="0.2">
      <c r="B38" s="3" t="s">
        <v>46</v>
      </c>
      <c r="D38">
        <v>3.63</v>
      </c>
      <c r="K38">
        <v>60</v>
      </c>
      <c r="L38">
        <v>60</v>
      </c>
      <c r="R38">
        <f t="shared" ref="R38:R40" si="26">M38/0.2567</f>
        <v>0</v>
      </c>
      <c r="S38">
        <f t="shared" ref="S38:S40" si="27">N38/0.2567</f>
        <v>0</v>
      </c>
      <c r="T38">
        <f t="shared" ref="T38:T40" si="28">O38/0.2567</f>
        <v>0</v>
      </c>
      <c r="U38">
        <f t="shared" ref="U38:U40" si="29">P38/0.2567</f>
        <v>0</v>
      </c>
      <c r="V38">
        <f t="shared" ref="V38:V40" si="30">R38/$J$4</f>
        <v>0</v>
      </c>
      <c r="W38">
        <f t="shared" ref="W38:W40" si="31">S38/$J$4</f>
        <v>0</v>
      </c>
      <c r="X38">
        <f t="shared" ref="X38:X40" si="32">T38/$J$4</f>
        <v>0</v>
      </c>
      <c r="Y38">
        <f t="shared" ref="Y38:Y40" si="33">U38/$J$4</f>
        <v>0</v>
      </c>
      <c r="Z38">
        <f t="shared" ref="Z38:Z40" si="34">K38/($I$4/1000*$J$4/1000)/60</f>
        <v>95.238095238095227</v>
      </c>
      <c r="AA38">
        <f t="shared" ref="AA38:AA40" si="35">L38/($I$4/1000*$J$4/1000)/60</f>
        <v>95.238095238095227</v>
      </c>
      <c r="AB38">
        <f t="shared" ref="AB38:AB40" si="36">Z38/($I$4/1000)</f>
        <v>952.38095238095218</v>
      </c>
      <c r="AC38">
        <f t="shared" si="12"/>
        <v>2.6866843975627613E-3</v>
      </c>
      <c r="AE38">
        <f t="shared" ref="AE38:AE40" si="37">AC38/$AD$4</f>
        <v>9.2644289571129704E-3</v>
      </c>
      <c r="AG38">
        <f t="shared" ref="AG38:AG40" si="38">AC38*(Z38/1000)/($AF$4/1000)</f>
        <v>7.0488899319500489E-2</v>
      </c>
      <c r="AH38">
        <f t="shared" si="15"/>
        <v>7.6085530630985172</v>
      </c>
      <c r="AI38">
        <f t="shared" ref="AI38:AI40" si="39">K38/L38</f>
        <v>1</v>
      </c>
      <c r="AJ38">
        <f t="shared" ref="AJ38:AJ40" si="40">1000*(Z38/1000)*($I$4/10^6)/AC38</f>
        <v>3.5448188601717017</v>
      </c>
      <c r="AK38">
        <f t="shared" ref="AK38:AK40" si="41">1000*(AA38/1000)*($I$4/10^6)/$AD$4</f>
        <v>3.2840722495894911E-2</v>
      </c>
      <c r="AM38">
        <f t="shared" ref="AM38:AM40" si="42">$AL$4*AB38</f>
        <v>0.31428571428571422</v>
      </c>
      <c r="AN38">
        <f t="shared" ref="AN38:AN40" si="43">AM38/AJ38</f>
        <v>8.8660585119571117E-2</v>
      </c>
      <c r="AO38">
        <f t="shared" si="21"/>
        <v>0.17579837004197926</v>
      </c>
      <c r="AP38">
        <f t="shared" si="22"/>
        <v>0.29595028035985188</v>
      </c>
      <c r="AQ38">
        <f t="shared" si="23"/>
        <v>0.14777927793137016</v>
      </c>
      <c r="AR38">
        <f t="shared" si="24"/>
        <v>0.17579837004197924</v>
      </c>
      <c r="AS38">
        <f t="shared" si="25"/>
        <v>0.13143103448275864</v>
      </c>
    </row>
    <row r="39" spans="2:45" x14ac:dyDescent="0.2">
      <c r="K39">
        <v>60</v>
      </c>
      <c r="L39">
        <v>80</v>
      </c>
      <c r="R39">
        <f t="shared" si="26"/>
        <v>0</v>
      </c>
      <c r="S39">
        <f t="shared" si="27"/>
        <v>0</v>
      </c>
      <c r="T39">
        <f t="shared" si="28"/>
        <v>0</v>
      </c>
      <c r="U39">
        <f t="shared" si="29"/>
        <v>0</v>
      </c>
      <c r="V39">
        <f t="shared" si="30"/>
        <v>0</v>
      </c>
      <c r="W39">
        <f t="shared" si="31"/>
        <v>0</v>
      </c>
      <c r="X39">
        <f t="shared" si="32"/>
        <v>0</v>
      </c>
      <c r="Y39">
        <f t="shared" si="33"/>
        <v>0</v>
      </c>
      <c r="Z39">
        <f t="shared" si="34"/>
        <v>95.238095238095227</v>
      </c>
      <c r="AA39">
        <f t="shared" si="35"/>
        <v>126.98412698412697</v>
      </c>
      <c r="AB39">
        <f t="shared" si="36"/>
        <v>952.38095238095218</v>
      </c>
      <c r="AC39">
        <f t="shared" si="12"/>
        <v>2.6866843975627613E-3</v>
      </c>
      <c r="AE39">
        <f t="shared" si="37"/>
        <v>9.2644289571129704E-3</v>
      </c>
      <c r="AG39">
        <f t="shared" si="38"/>
        <v>7.0488899319500489E-2</v>
      </c>
      <c r="AH39">
        <f t="shared" si="15"/>
        <v>10.14473741746469</v>
      </c>
      <c r="AI39">
        <f t="shared" si="39"/>
        <v>0.75</v>
      </c>
      <c r="AJ39">
        <f t="shared" si="40"/>
        <v>3.5448188601717017</v>
      </c>
      <c r="AK39">
        <f t="shared" si="41"/>
        <v>4.3787629994526546E-2</v>
      </c>
      <c r="AM39">
        <f t="shared" si="42"/>
        <v>0.31428571428571422</v>
      </c>
      <c r="AN39">
        <f t="shared" si="43"/>
        <v>8.8660585119571117E-2</v>
      </c>
      <c r="AO39">
        <f t="shared" si="21"/>
        <v>0.12555572560915065</v>
      </c>
      <c r="AP39">
        <f t="shared" si="22"/>
        <v>0.21136858200641834</v>
      </c>
      <c r="AQ39">
        <f t="shared" si="23"/>
        <v>0.10463742804238868</v>
      </c>
      <c r="AR39">
        <f t="shared" si="24"/>
        <v>0.12447678424697432</v>
      </c>
      <c r="AS39">
        <f t="shared" si="25"/>
        <v>7.3929956896551727E-2</v>
      </c>
    </row>
    <row r="40" spans="2:45" x14ac:dyDescent="0.2">
      <c r="K40">
        <v>80</v>
      </c>
      <c r="L40">
        <v>100</v>
      </c>
      <c r="R40">
        <f t="shared" si="26"/>
        <v>0</v>
      </c>
      <c r="S40">
        <f t="shared" si="27"/>
        <v>0</v>
      </c>
      <c r="T40">
        <f t="shared" si="28"/>
        <v>0</v>
      </c>
      <c r="U40">
        <f t="shared" si="29"/>
        <v>0</v>
      </c>
      <c r="V40">
        <f t="shared" si="30"/>
        <v>0</v>
      </c>
      <c r="W40">
        <f t="shared" si="31"/>
        <v>0</v>
      </c>
      <c r="X40">
        <f t="shared" si="32"/>
        <v>0</v>
      </c>
      <c r="Y40">
        <f t="shared" si="33"/>
        <v>0</v>
      </c>
      <c r="Z40">
        <f t="shared" si="34"/>
        <v>126.98412698412697</v>
      </c>
      <c r="AA40">
        <f t="shared" si="35"/>
        <v>158.73015873015871</v>
      </c>
      <c r="AB40">
        <f t="shared" si="36"/>
        <v>1269.8412698412696</v>
      </c>
      <c r="AC40">
        <f t="shared" si="12"/>
        <v>2.6850908135329352E-3</v>
      </c>
      <c r="AE40">
        <f t="shared" si="37"/>
        <v>9.2589338397687428E-3</v>
      </c>
      <c r="AG40">
        <f t="shared" si="38"/>
        <v>9.392945257013198E-2</v>
      </c>
      <c r="AH40">
        <f t="shared" si="15"/>
        <v>12.68092177183086</v>
      </c>
      <c r="AI40">
        <f t="shared" si="39"/>
        <v>0.8</v>
      </c>
      <c r="AJ40">
        <f t="shared" si="40"/>
        <v>4.7292302496482916</v>
      </c>
      <c r="AK40">
        <f t="shared" si="41"/>
        <v>5.4734537493158181E-2</v>
      </c>
      <c r="AM40">
        <f t="shared" si="42"/>
        <v>0.419047619047619</v>
      </c>
      <c r="AN40">
        <f t="shared" si="43"/>
        <v>8.8607996846586851E-2</v>
      </c>
      <c r="AO40">
        <f t="shared" si="21"/>
        <v>0.1296848721968997</v>
      </c>
      <c r="AP40">
        <f t="shared" si="22"/>
        <v>0.19180980266898057</v>
      </c>
      <c r="AQ40">
        <f t="shared" si="23"/>
        <v>0.113063265493466</v>
      </c>
      <c r="AR40">
        <f t="shared" si="24"/>
        <v>0.12881962126762278</v>
      </c>
      <c r="AS40">
        <f t="shared" si="25"/>
        <v>6.3086896551724156E-2</v>
      </c>
    </row>
  </sheetData>
  <mergeCells count="1">
    <mergeCell ref="B2:G2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E6CBE-168B-AF49-9D38-E0C6E67E2D66}">
  <dimension ref="B2:AS38"/>
  <sheetViews>
    <sheetView tabSelected="1" topLeftCell="R1" workbookViewId="0">
      <selection activeCell="Z5" sqref="Z5"/>
    </sheetView>
  </sheetViews>
  <sheetFormatPr baseColWidth="10" defaultRowHeight="16" x14ac:dyDescent="0.2"/>
  <cols>
    <col min="2" max="2" width="41.6640625" bestFit="1" customWidth="1"/>
    <col min="3" max="3" width="15.6640625" customWidth="1"/>
    <col min="9" max="9" width="16.5" bestFit="1" customWidth="1"/>
    <col min="16" max="16" width="11.6640625" bestFit="1" customWidth="1"/>
    <col min="17" max="17" width="13.1640625" bestFit="1" customWidth="1"/>
    <col min="25" max="25" width="11.1640625" bestFit="1" customWidth="1"/>
    <col min="28" max="28" width="16.33203125" customWidth="1"/>
    <col min="31" max="31" width="19.33203125" customWidth="1"/>
    <col min="32" max="32" width="23" bestFit="1" customWidth="1"/>
    <col min="41" max="41" width="23.1640625" bestFit="1" customWidth="1"/>
    <col min="42" max="42" width="33.33203125" bestFit="1" customWidth="1"/>
    <col min="43" max="43" width="16" bestFit="1" customWidth="1"/>
    <col min="44" max="44" width="21.6640625" bestFit="1" customWidth="1"/>
  </cols>
  <sheetData>
    <row r="2" spans="2:45" x14ac:dyDescent="0.2">
      <c r="B2" s="8" t="s">
        <v>12</v>
      </c>
      <c r="C2" s="8"/>
      <c r="D2" s="8"/>
      <c r="E2" s="8"/>
      <c r="F2" s="8"/>
      <c r="G2" s="8"/>
    </row>
    <row r="3" spans="2:45" x14ac:dyDescent="0.2"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I3" t="s">
        <v>19</v>
      </c>
      <c r="J3" t="s">
        <v>13</v>
      </c>
      <c r="K3" t="s">
        <v>14</v>
      </c>
      <c r="L3" t="s">
        <v>15</v>
      </c>
      <c r="M3" t="s">
        <v>16</v>
      </c>
      <c r="N3" t="s">
        <v>20</v>
      </c>
      <c r="O3" t="s">
        <v>17</v>
      </c>
      <c r="P3" t="s">
        <v>21</v>
      </c>
      <c r="Q3" t="s">
        <v>27</v>
      </c>
      <c r="R3" t="s">
        <v>18</v>
      </c>
      <c r="S3" t="s">
        <v>22</v>
      </c>
      <c r="T3" t="s">
        <v>23</v>
      </c>
      <c r="U3" t="s">
        <v>24</v>
      </c>
      <c r="V3" s="4" t="s">
        <v>25</v>
      </c>
      <c r="W3" s="4" t="s">
        <v>26</v>
      </c>
      <c r="X3" s="4" t="s">
        <v>38</v>
      </c>
      <c r="Y3" s="4" t="s">
        <v>39</v>
      </c>
      <c r="Z3" t="s">
        <v>32</v>
      </c>
      <c r="AA3" t="s">
        <v>33</v>
      </c>
      <c r="AB3" t="s">
        <v>31</v>
      </c>
      <c r="AC3" t="s">
        <v>29</v>
      </c>
      <c r="AD3" t="s">
        <v>30</v>
      </c>
      <c r="AE3" s="4" t="s">
        <v>34</v>
      </c>
      <c r="AF3" t="s">
        <v>35</v>
      </c>
      <c r="AG3" s="4" t="s">
        <v>37</v>
      </c>
      <c r="AH3" s="4" t="s">
        <v>36</v>
      </c>
      <c r="AI3" s="4" t="s">
        <v>40</v>
      </c>
      <c r="AJ3" s="4" t="s">
        <v>41</v>
      </c>
      <c r="AK3" s="4" t="s">
        <v>42</v>
      </c>
      <c r="AL3" t="s">
        <v>45</v>
      </c>
      <c r="AM3" s="4" t="s">
        <v>43</v>
      </c>
      <c r="AN3" s="4" t="s">
        <v>44</v>
      </c>
      <c r="AO3" s="4" t="s">
        <v>57</v>
      </c>
      <c r="AP3" s="4" t="s">
        <v>58</v>
      </c>
      <c r="AQ3" s="4" t="s">
        <v>59</v>
      </c>
      <c r="AR3" s="4" t="s">
        <v>60</v>
      </c>
      <c r="AS3" s="4" t="s">
        <v>61</v>
      </c>
    </row>
    <row r="4" spans="2:45" x14ac:dyDescent="0.2">
      <c r="I4">
        <v>100</v>
      </c>
      <c r="J4">
        <v>105</v>
      </c>
      <c r="K4">
        <v>10</v>
      </c>
      <c r="L4">
        <v>100</v>
      </c>
      <c r="M4">
        <v>28.2087</v>
      </c>
      <c r="N4">
        <v>1.1789000000000001</v>
      </c>
      <c r="O4">
        <v>26.933900000000001</v>
      </c>
      <c r="P4">
        <v>1.0168999999999999</v>
      </c>
      <c r="Q4">
        <f>61/(250/2000)</f>
        <v>488</v>
      </c>
      <c r="R4">
        <f>M4/0.2567</f>
        <v>109.88975457732762</v>
      </c>
      <c r="S4">
        <f t="shared" ref="S4:U19" si="0">N4/0.2567</f>
        <v>4.5925204518893654</v>
      </c>
      <c r="T4">
        <f t="shared" si="0"/>
        <v>104.92364627970395</v>
      </c>
      <c r="U4">
        <f t="shared" si="0"/>
        <v>3.9614335800545382</v>
      </c>
      <c r="V4">
        <f>R4/$J$4</f>
        <v>1.046569091212644</v>
      </c>
      <c r="W4">
        <f>S4/$J$4</f>
        <v>4.373829001799396E-2</v>
      </c>
      <c r="X4">
        <f>T4/$J$4</f>
        <v>0.99927282171146614</v>
      </c>
      <c r="Y4">
        <f>U4/$J$4</f>
        <v>3.772793885766227E-2</v>
      </c>
      <c r="Z4">
        <f>K4/($I$4/1000*$J$4/1000)/60</f>
        <v>15.873015873015872</v>
      </c>
      <c r="AA4">
        <f>L4/($I$4/1000*$J$4/1000)/60</f>
        <v>158.73015873015871</v>
      </c>
      <c r="AB4">
        <f>Z4/($I$4/1000)</f>
        <v>158.73015873015871</v>
      </c>
      <c r="AC4">
        <f>0.00393225/(1 + (0.00112641*AB4)^0.382571)</f>
        <v>2.5911409254895999E-3</v>
      </c>
      <c r="AD4">
        <v>0.28999999999999998</v>
      </c>
      <c r="AE4">
        <f>AC4/$AD$4</f>
        <v>8.9349687085848277E-3</v>
      </c>
      <c r="AF4">
        <v>3.63</v>
      </c>
      <c r="AG4">
        <f>AC4*(Z4/1000)/($AF$4/1000)</f>
        <v>1.1330363922732083E-2</v>
      </c>
      <c r="AH4">
        <f>$AD$4*(AA4/1000)/($AF$4/1000)</f>
        <v>12.68092177183086</v>
      </c>
      <c r="AI4">
        <f>K4/L4</f>
        <v>0.1</v>
      </c>
      <c r="AJ4">
        <f>1000*(Z4/1000)*($I$4/10^6)/AC4</f>
        <v>0.61258790353197956</v>
      </c>
      <c r="AK4">
        <f>1000*(AA4/1000)*($I$4/10^6)/$AD$4</f>
        <v>5.4734537493158181E-2</v>
      </c>
      <c r="AL4">
        <v>1.12641E-3</v>
      </c>
      <c r="AM4">
        <f>$AL$4*AB4</f>
        <v>0.17879523809523806</v>
      </c>
      <c r="AN4">
        <f>AM4/AJ4</f>
        <v>0.29186870498807399</v>
      </c>
      <c r="AO4">
        <f>AH4^(-0.6)*AI4^0.57*AM4^0.45</f>
        <v>2.7019025582645174E-2</v>
      </c>
      <c r="AP4">
        <f>AH4^(-0.6)*AI4^0.57</f>
        <v>5.8628597599815827E-2</v>
      </c>
      <c r="AQ4">
        <f>(AI4*AM4/AH4)^0.6</f>
        <v>1.9477045316206514E-2</v>
      </c>
      <c r="AR4">
        <f>(AI4/AH4)^(0.6)*AM4^(0.45)</f>
        <v>2.5215621828347527E-2</v>
      </c>
      <c r="AS4">
        <f>AI4/AH4</f>
        <v>7.8858620689655195E-3</v>
      </c>
    </row>
    <row r="5" spans="2:45" x14ac:dyDescent="0.2">
      <c r="B5" t="s">
        <v>48</v>
      </c>
      <c r="C5" t="s">
        <v>49</v>
      </c>
      <c r="D5" t="s">
        <v>50</v>
      </c>
      <c r="E5" t="s">
        <v>51</v>
      </c>
      <c r="F5" t="s">
        <v>52</v>
      </c>
      <c r="K5">
        <v>10</v>
      </c>
      <c r="L5">
        <v>10</v>
      </c>
      <c r="M5">
        <v>162.4871</v>
      </c>
      <c r="N5">
        <v>16.69171</v>
      </c>
      <c r="O5">
        <v>77.594430000000003</v>
      </c>
      <c r="P5">
        <v>1.3769180000000001</v>
      </c>
      <c r="Q5">
        <f>9/(250/500)</f>
        <v>18</v>
      </c>
      <c r="R5">
        <f t="shared" ref="R5:U32" si="1">M5/0.2567</f>
        <v>632.98441760810283</v>
      </c>
      <c r="S5">
        <f t="shared" si="0"/>
        <v>65.024191663420339</v>
      </c>
      <c r="T5">
        <f t="shared" si="0"/>
        <v>302.27670432411378</v>
      </c>
      <c r="U5">
        <f t="shared" si="0"/>
        <v>5.3639189715621356</v>
      </c>
      <c r="V5">
        <f t="shared" ref="V5:Y32" si="2">R5/$J$4</f>
        <v>6.0284230248390749</v>
      </c>
      <c r="W5">
        <f t="shared" si="2"/>
        <v>0.61927801584209852</v>
      </c>
      <c r="X5">
        <f t="shared" si="2"/>
        <v>2.8788257554677501</v>
      </c>
      <c r="Y5">
        <f t="shared" si="2"/>
        <v>5.1084942586306054E-2</v>
      </c>
      <c r="Z5">
        <f t="shared" ref="Z5:AA32" si="3">K5/($I$4/1000*$J$4/1000)/60</f>
        <v>15.873015873015872</v>
      </c>
      <c r="AA5">
        <f t="shared" si="3"/>
        <v>15.873015873015872</v>
      </c>
      <c r="AB5">
        <f t="shared" ref="AB5:AB32" si="4">Z5/($I$4/1000)</f>
        <v>158.73015873015871</v>
      </c>
      <c r="AC5">
        <f t="shared" ref="AC5:AC32" si="5">0.00393225/(1 + (0.00112641*AB5)^0.382571)</f>
        <v>2.5911409254895999E-3</v>
      </c>
      <c r="AE5">
        <f t="shared" ref="AE5:AE32" si="6">AC5/$AD$4</f>
        <v>8.9349687085848277E-3</v>
      </c>
      <c r="AG5">
        <f t="shared" ref="AG5:AG32" si="7">AC5*(Z5/1000)/($AF$4/1000)</f>
        <v>1.1330363922732083E-2</v>
      </c>
      <c r="AH5">
        <f t="shared" ref="AH5:AH32" si="8">$AD$4*(AA5/1000)/($AF$4/1000)</f>
        <v>1.2680921771830862</v>
      </c>
      <c r="AI5">
        <f t="shared" ref="AI5:AI32" si="9">K5/L5</f>
        <v>1</v>
      </c>
      <c r="AJ5">
        <f t="shared" ref="AJ5:AJ32" si="10">1000*(Z5/1000)*($I$4/10^6)/AC5</f>
        <v>0.61258790353197956</v>
      </c>
      <c r="AK5">
        <f t="shared" ref="AK5:AK32" si="11">1000*(AA5/1000)*($I$4/10^6)/$AD$4</f>
        <v>5.4734537493158182E-3</v>
      </c>
      <c r="AM5">
        <f t="shared" ref="AM5:AM32" si="12">$AL$4*AB5</f>
        <v>0.17879523809523806</v>
      </c>
      <c r="AN5">
        <f t="shared" ref="AN5:AN32" si="13">AM5/AJ5</f>
        <v>0.29186870498807399</v>
      </c>
      <c r="AO5">
        <f t="shared" ref="AO5:AO32" si="14">AH5^(-0.6)*AI5^0.57*AM5^0.45</f>
        <v>0.39964067379421842</v>
      </c>
      <c r="AP5">
        <f t="shared" ref="AP5:AP32" si="15">AH5^(-0.6)*AI5^0.57</f>
        <v>0.86718050496425969</v>
      </c>
      <c r="AQ5">
        <f t="shared" ref="AQ5:AQ32" si="16">(AI5*AM5/AH5)^0.6</f>
        <v>0.30869036530912314</v>
      </c>
      <c r="AR5">
        <f t="shared" ref="AR5:AR32" si="17">(AI5/AH5)^(0.6)*AM5^(0.45)</f>
        <v>0.39964067379421842</v>
      </c>
      <c r="AS5">
        <f t="shared" ref="AS5:AS32" si="18">AI5/AH5</f>
        <v>0.78858620689655179</v>
      </c>
    </row>
    <row r="6" spans="2:45" x14ac:dyDescent="0.2">
      <c r="B6" s="5">
        <v>1000</v>
      </c>
      <c r="C6">
        <v>1.9394</v>
      </c>
      <c r="D6">
        <v>1.9384000000000001E-3</v>
      </c>
      <c r="E6">
        <v>20.97</v>
      </c>
      <c r="F6">
        <v>63.472000000000001</v>
      </c>
      <c r="K6">
        <v>10</v>
      </c>
      <c r="L6">
        <v>20</v>
      </c>
      <c r="M6">
        <v>83.520700000000005</v>
      </c>
      <c r="N6">
        <v>3.5516999999999999</v>
      </c>
      <c r="O6">
        <v>69.239599999999996</v>
      </c>
      <c r="P6">
        <v>1.0710999999999999</v>
      </c>
      <c r="Q6">
        <f>19/(250/500)</f>
        <v>38</v>
      </c>
      <c r="R6">
        <f t="shared" si="1"/>
        <v>325.36306973120378</v>
      </c>
      <c r="S6">
        <f t="shared" si="0"/>
        <v>13.835995325282431</v>
      </c>
      <c r="T6">
        <f t="shared" si="0"/>
        <v>269.72964550058435</v>
      </c>
      <c r="U6">
        <f t="shared" si="0"/>
        <v>4.1725749902610048</v>
      </c>
      <c r="V6">
        <f t="shared" si="2"/>
        <v>3.0986959022019409</v>
      </c>
      <c r="W6">
        <f t="shared" si="2"/>
        <v>0.13177138405030886</v>
      </c>
      <c r="X6">
        <f t="shared" si="2"/>
        <v>2.5688537666722318</v>
      </c>
      <c r="Y6">
        <f t="shared" si="2"/>
        <v>3.973880943105719E-2</v>
      </c>
      <c r="Z6">
        <f t="shared" si="3"/>
        <v>15.873015873015872</v>
      </c>
      <c r="AA6">
        <f t="shared" si="3"/>
        <v>31.746031746031743</v>
      </c>
      <c r="AB6">
        <f t="shared" si="4"/>
        <v>158.73015873015871</v>
      </c>
      <c r="AC6">
        <f t="shared" si="5"/>
        <v>2.5911409254895999E-3</v>
      </c>
      <c r="AE6">
        <f t="shared" si="6"/>
        <v>8.9349687085848277E-3</v>
      </c>
      <c r="AG6">
        <f t="shared" si="7"/>
        <v>1.1330363922732083E-2</v>
      </c>
      <c r="AH6">
        <f t="shared" si="8"/>
        <v>2.5361843543661724</v>
      </c>
      <c r="AI6">
        <f t="shared" si="9"/>
        <v>0.5</v>
      </c>
      <c r="AJ6">
        <f t="shared" si="10"/>
        <v>0.61258790353197956</v>
      </c>
      <c r="AK6">
        <f t="shared" si="11"/>
        <v>1.0946907498631636E-2</v>
      </c>
      <c r="AM6">
        <f t="shared" si="12"/>
        <v>0.17879523809523806</v>
      </c>
      <c r="AN6">
        <f t="shared" si="13"/>
        <v>0.29186870498807399</v>
      </c>
      <c r="AO6">
        <f t="shared" si="14"/>
        <v>0.17760884399923388</v>
      </c>
      <c r="AP6">
        <f t="shared" si="15"/>
        <v>0.38539352254390641</v>
      </c>
      <c r="AQ6">
        <f t="shared" si="16"/>
        <v>0.1343652857019717</v>
      </c>
      <c r="AR6">
        <f t="shared" si="17"/>
        <v>0.17395370684379974</v>
      </c>
      <c r="AS6">
        <f t="shared" si="18"/>
        <v>0.19714655172413795</v>
      </c>
    </row>
    <row r="7" spans="2:45" x14ac:dyDescent="0.2">
      <c r="B7">
        <v>790</v>
      </c>
      <c r="C7">
        <v>1.597</v>
      </c>
      <c r="D7">
        <v>2.0214999999999999E-3</v>
      </c>
      <c r="E7">
        <v>20.97</v>
      </c>
      <c r="F7">
        <v>52.265999999999998</v>
      </c>
      <c r="K7">
        <v>10</v>
      </c>
      <c r="L7">
        <v>30</v>
      </c>
      <c r="M7">
        <v>59.399500000000003</v>
      </c>
      <c r="N7">
        <v>2.3711000000000002</v>
      </c>
      <c r="O7">
        <v>54.018300000000004</v>
      </c>
      <c r="P7">
        <v>1.8607</v>
      </c>
      <c r="Q7">
        <f>37/(250/500)</f>
        <v>74</v>
      </c>
      <c r="R7">
        <f t="shared" si="1"/>
        <v>231.39657187378265</v>
      </c>
      <c r="S7">
        <f t="shared" si="0"/>
        <v>9.236852356836776</v>
      </c>
      <c r="T7">
        <f t="shared" si="0"/>
        <v>210.4335800545384</v>
      </c>
      <c r="U7">
        <f t="shared" si="0"/>
        <v>7.2485391507596422</v>
      </c>
      <c r="V7">
        <f t="shared" si="2"/>
        <v>2.2037768749884061</v>
      </c>
      <c r="W7">
        <f t="shared" si="2"/>
        <v>8.7970022446064527E-2</v>
      </c>
      <c r="X7">
        <f t="shared" si="2"/>
        <v>2.0041293338527466</v>
      </c>
      <c r="Y7">
        <f t="shared" si="2"/>
        <v>6.9033706197710876E-2</v>
      </c>
      <c r="Z7">
        <f t="shared" si="3"/>
        <v>15.873015873015872</v>
      </c>
      <c r="AA7">
        <f t="shared" si="3"/>
        <v>47.619047619047613</v>
      </c>
      <c r="AB7">
        <f t="shared" si="4"/>
        <v>158.73015873015871</v>
      </c>
      <c r="AC7">
        <f t="shared" si="5"/>
        <v>2.5911409254895999E-3</v>
      </c>
      <c r="AE7">
        <f t="shared" si="6"/>
        <v>8.9349687085848277E-3</v>
      </c>
      <c r="AG7">
        <f t="shared" si="7"/>
        <v>1.1330363922732083E-2</v>
      </c>
      <c r="AH7">
        <f t="shared" si="8"/>
        <v>3.8042765315492586</v>
      </c>
      <c r="AI7">
        <f t="shared" si="9"/>
        <v>0.33333333333333331</v>
      </c>
      <c r="AJ7">
        <f t="shared" si="10"/>
        <v>0.61258790353197956</v>
      </c>
      <c r="AK7">
        <f t="shared" si="11"/>
        <v>1.6420361247947456E-2</v>
      </c>
      <c r="AM7">
        <f t="shared" si="12"/>
        <v>0.17879523809523806</v>
      </c>
      <c r="AN7">
        <f t="shared" si="13"/>
        <v>0.29186870498807399</v>
      </c>
      <c r="AO7">
        <f t="shared" si="14"/>
        <v>0.11051922084442112</v>
      </c>
      <c r="AP7">
        <f t="shared" si="15"/>
        <v>0.23981571452727382</v>
      </c>
      <c r="AQ7">
        <f t="shared" si="16"/>
        <v>8.2599528649527201E-2</v>
      </c>
      <c r="AR7">
        <f t="shared" si="17"/>
        <v>0.10693605954149393</v>
      </c>
      <c r="AS7">
        <f t="shared" si="18"/>
        <v>8.7620689655172418E-2</v>
      </c>
    </row>
    <row r="8" spans="2:45" x14ac:dyDescent="0.2">
      <c r="B8">
        <v>628</v>
      </c>
      <c r="C8">
        <v>1.3153999999999999</v>
      </c>
      <c r="D8">
        <v>2.0956999999999998E-3</v>
      </c>
      <c r="E8">
        <v>20.97</v>
      </c>
      <c r="F8">
        <v>43.048999999999999</v>
      </c>
      <c r="K8">
        <v>10</v>
      </c>
      <c r="L8">
        <v>40</v>
      </c>
      <c r="M8">
        <v>54.163400000000003</v>
      </c>
      <c r="N8">
        <v>2.8727</v>
      </c>
      <c r="O8">
        <v>49.205199999999998</v>
      </c>
      <c r="P8">
        <v>2.4577</v>
      </c>
      <c r="Q8">
        <f>25/(250/1000)</f>
        <v>100</v>
      </c>
      <c r="R8">
        <f t="shared" si="1"/>
        <v>210.99883132060774</v>
      </c>
      <c r="S8">
        <f t="shared" si="0"/>
        <v>11.190884300740164</v>
      </c>
      <c r="T8">
        <f t="shared" si="0"/>
        <v>191.68367744448773</v>
      </c>
      <c r="U8">
        <f t="shared" si="0"/>
        <v>9.5742111414102062</v>
      </c>
      <c r="V8">
        <f t="shared" si="2"/>
        <v>2.0095126792438833</v>
      </c>
      <c r="W8">
        <f t="shared" si="2"/>
        <v>0.10657985048323966</v>
      </c>
      <c r="X8">
        <f t="shared" si="2"/>
        <v>1.825558832804645</v>
      </c>
      <c r="Y8">
        <f t="shared" si="2"/>
        <v>9.1182963251525778E-2</v>
      </c>
      <c r="Z8">
        <f t="shared" si="3"/>
        <v>15.873015873015872</v>
      </c>
      <c r="AA8">
        <f t="shared" si="3"/>
        <v>63.492063492063487</v>
      </c>
      <c r="AB8">
        <f t="shared" si="4"/>
        <v>158.73015873015871</v>
      </c>
      <c r="AC8">
        <f t="shared" si="5"/>
        <v>2.5911409254895999E-3</v>
      </c>
      <c r="AE8">
        <f t="shared" si="6"/>
        <v>8.9349687085848277E-3</v>
      </c>
      <c r="AG8">
        <f t="shared" si="7"/>
        <v>1.1330363922732083E-2</v>
      </c>
      <c r="AH8">
        <f t="shared" si="8"/>
        <v>5.0723687087323448</v>
      </c>
      <c r="AI8">
        <f t="shared" si="9"/>
        <v>0.25</v>
      </c>
      <c r="AJ8">
        <f t="shared" si="10"/>
        <v>0.61258790353197956</v>
      </c>
      <c r="AK8">
        <f t="shared" si="11"/>
        <v>2.1893814997263273E-2</v>
      </c>
      <c r="AM8">
        <f t="shared" si="12"/>
        <v>0.17879523809523806</v>
      </c>
      <c r="AN8">
        <f t="shared" si="13"/>
        <v>0.29186870498807399</v>
      </c>
      <c r="AO8">
        <f t="shared" si="14"/>
        <v>7.8933160549587073E-2</v>
      </c>
      <c r="AP8">
        <f t="shared" si="15"/>
        <v>0.1712771059410774</v>
      </c>
      <c r="AQ8">
        <f t="shared" si="16"/>
        <v>5.8485887577648082E-2</v>
      </c>
      <c r="AR8">
        <f t="shared" si="17"/>
        <v>7.5717748740159352E-2</v>
      </c>
      <c r="AS8">
        <f t="shared" si="18"/>
        <v>4.9286637931034487E-2</v>
      </c>
    </row>
    <row r="9" spans="2:45" x14ac:dyDescent="0.2">
      <c r="B9">
        <v>499</v>
      </c>
      <c r="C9">
        <v>1.0834999999999999</v>
      </c>
      <c r="D9">
        <v>2.1733999999999998E-3</v>
      </c>
      <c r="E9">
        <v>20.97</v>
      </c>
      <c r="F9">
        <v>35.462000000000003</v>
      </c>
      <c r="K9">
        <v>10</v>
      </c>
      <c r="L9">
        <v>50</v>
      </c>
      <c r="M9">
        <v>39.373899999999999</v>
      </c>
      <c r="N9">
        <v>1.6612</v>
      </c>
      <c r="O9">
        <v>36.322299999999998</v>
      </c>
      <c r="P9">
        <v>1.4271</v>
      </c>
      <c r="Q9">
        <f>43/(250/500)</f>
        <v>86</v>
      </c>
      <c r="R9">
        <f t="shared" si="1"/>
        <v>153.38488507985977</v>
      </c>
      <c r="S9">
        <f t="shared" si="0"/>
        <v>6.4713673548889759</v>
      </c>
      <c r="T9">
        <f t="shared" si="0"/>
        <v>141.49707830151928</v>
      </c>
      <c r="U9">
        <f t="shared" si="0"/>
        <v>5.5594078691079085</v>
      </c>
      <c r="V9">
        <f t="shared" si="2"/>
        <v>1.4608084293319978</v>
      </c>
      <c r="W9">
        <f t="shared" si="2"/>
        <v>6.1632070046561675E-2</v>
      </c>
      <c r="X9">
        <f t="shared" si="2"/>
        <v>1.3475912219192312</v>
      </c>
      <c r="Y9">
        <f t="shared" si="2"/>
        <v>5.2946741610551511E-2</v>
      </c>
      <c r="Z9">
        <f t="shared" si="3"/>
        <v>15.873015873015872</v>
      </c>
      <c r="AA9">
        <f t="shared" si="3"/>
        <v>79.365079365079353</v>
      </c>
      <c r="AB9">
        <f t="shared" si="4"/>
        <v>158.73015873015871</v>
      </c>
      <c r="AC9">
        <f t="shared" si="5"/>
        <v>2.5911409254895999E-3</v>
      </c>
      <c r="AE9">
        <f t="shared" si="6"/>
        <v>8.9349687085848277E-3</v>
      </c>
      <c r="AG9">
        <f t="shared" si="7"/>
        <v>1.1330363922732083E-2</v>
      </c>
      <c r="AH9">
        <f t="shared" si="8"/>
        <v>6.3404608859154301</v>
      </c>
      <c r="AI9">
        <f t="shared" si="9"/>
        <v>0.2</v>
      </c>
      <c r="AJ9">
        <f t="shared" si="10"/>
        <v>0.61258790353197956</v>
      </c>
      <c r="AK9">
        <f t="shared" si="11"/>
        <v>2.736726874657909E-2</v>
      </c>
      <c r="AM9">
        <f t="shared" si="12"/>
        <v>0.17879523809523806</v>
      </c>
      <c r="AN9">
        <f t="shared" si="13"/>
        <v>0.29186870498807399</v>
      </c>
      <c r="AO9">
        <f t="shared" si="14"/>
        <v>6.0795967959557891E-2</v>
      </c>
      <c r="AP9">
        <f t="shared" si="15"/>
        <v>0.13192120235015747</v>
      </c>
      <c r="AQ9">
        <f t="shared" si="16"/>
        <v>4.4746499829858261E-2</v>
      </c>
      <c r="AR9">
        <f t="shared" si="17"/>
        <v>5.7930286628900263E-2</v>
      </c>
      <c r="AS9">
        <f t="shared" si="18"/>
        <v>3.1543448275862078E-2</v>
      </c>
    </row>
    <row r="10" spans="2:45" x14ac:dyDescent="0.2">
      <c r="B10">
        <v>396</v>
      </c>
      <c r="C10">
        <v>0.89529999999999998</v>
      </c>
      <c r="D10">
        <v>2.2607999999999999E-3</v>
      </c>
      <c r="E10">
        <v>20.97</v>
      </c>
      <c r="F10">
        <v>29.300999999999998</v>
      </c>
      <c r="K10">
        <v>10</v>
      </c>
      <c r="L10">
        <v>60</v>
      </c>
      <c r="M10">
        <v>37.190300000000001</v>
      </c>
      <c r="N10">
        <v>1.9616</v>
      </c>
      <c r="O10">
        <v>34.425400000000003</v>
      </c>
      <c r="P10">
        <v>1.7109000000000001</v>
      </c>
      <c r="Q10">
        <f>51/(250/1000)</f>
        <v>204</v>
      </c>
      <c r="R10">
        <f t="shared" si="1"/>
        <v>144.8784573432022</v>
      </c>
      <c r="S10">
        <f t="shared" si="0"/>
        <v>7.6416049863654072</v>
      </c>
      <c r="T10">
        <f t="shared" si="0"/>
        <v>134.10751850409039</v>
      </c>
      <c r="U10">
        <f t="shared" si="0"/>
        <v>6.6649785742111423</v>
      </c>
      <c r="V10">
        <f t="shared" si="2"/>
        <v>1.3797948318400211</v>
      </c>
      <c r="W10">
        <f t="shared" si="2"/>
        <v>7.2777190346337214E-2</v>
      </c>
      <c r="X10">
        <f t="shared" si="2"/>
        <v>1.277214461943718</v>
      </c>
      <c r="Y10">
        <f t="shared" si="2"/>
        <v>6.3475986421058492E-2</v>
      </c>
      <c r="Z10">
        <f t="shared" si="3"/>
        <v>15.873015873015872</v>
      </c>
      <c r="AA10">
        <f t="shared" si="3"/>
        <v>95.238095238095227</v>
      </c>
      <c r="AB10">
        <f t="shared" si="4"/>
        <v>158.73015873015871</v>
      </c>
      <c r="AC10">
        <f t="shared" si="5"/>
        <v>2.5911409254895999E-3</v>
      </c>
      <c r="AE10">
        <f t="shared" si="6"/>
        <v>8.9349687085848277E-3</v>
      </c>
      <c r="AG10">
        <f t="shared" si="7"/>
        <v>1.1330363922732083E-2</v>
      </c>
      <c r="AH10">
        <f t="shared" si="8"/>
        <v>7.6085530630985172</v>
      </c>
      <c r="AI10">
        <f t="shared" si="9"/>
        <v>0.16666666666666666</v>
      </c>
      <c r="AJ10">
        <f t="shared" si="10"/>
        <v>0.61258790353197956</v>
      </c>
      <c r="AK10">
        <f t="shared" si="11"/>
        <v>3.2840722495894911E-2</v>
      </c>
      <c r="AM10">
        <f t="shared" si="12"/>
        <v>0.17879523809523806</v>
      </c>
      <c r="AN10">
        <f t="shared" si="13"/>
        <v>0.29186870498807399</v>
      </c>
      <c r="AO10">
        <f t="shared" si="14"/>
        <v>4.91171002878978E-2</v>
      </c>
      <c r="AP10">
        <f t="shared" si="15"/>
        <v>0.10657922134314947</v>
      </c>
      <c r="AQ10">
        <f t="shared" si="16"/>
        <v>3.5953533096920121E-2</v>
      </c>
      <c r="AR10">
        <f t="shared" si="17"/>
        <v>4.6546623435257714E-2</v>
      </c>
      <c r="AS10">
        <f t="shared" si="18"/>
        <v>2.1905172413793104E-2</v>
      </c>
    </row>
    <row r="11" spans="2:45" x14ac:dyDescent="0.2">
      <c r="B11">
        <v>315</v>
      </c>
      <c r="C11">
        <v>0.73712999999999995</v>
      </c>
      <c r="D11">
        <v>2.3433999999999998E-3</v>
      </c>
      <c r="E11">
        <v>20.98</v>
      </c>
      <c r="F11">
        <v>24.125</v>
      </c>
      <c r="K11">
        <v>10</v>
      </c>
      <c r="L11">
        <v>70</v>
      </c>
      <c r="M11">
        <v>31.4693</v>
      </c>
      <c r="N11">
        <v>1.593</v>
      </c>
      <c r="O11">
        <v>29.6494</v>
      </c>
      <c r="P11">
        <v>1.3633</v>
      </c>
      <c r="Q11">
        <f>37/(250/2000)</f>
        <v>296</v>
      </c>
      <c r="R11">
        <f t="shared" si="1"/>
        <v>122.59174133229452</v>
      </c>
      <c r="S11">
        <f t="shared" si="0"/>
        <v>6.2056875730424625</v>
      </c>
      <c r="T11">
        <f t="shared" si="0"/>
        <v>115.50214257888587</v>
      </c>
      <c r="U11">
        <f t="shared" si="0"/>
        <v>5.3108687183482663</v>
      </c>
      <c r="V11">
        <f t="shared" si="2"/>
        <v>1.1675403936409001</v>
      </c>
      <c r="W11">
        <f t="shared" si="2"/>
        <v>5.9101786409928213E-2</v>
      </c>
      <c r="X11">
        <f t="shared" si="2"/>
        <v>1.1000204055131988</v>
      </c>
      <c r="Y11">
        <f t="shared" si="2"/>
        <v>5.0579702079507301E-2</v>
      </c>
      <c r="Z11">
        <f t="shared" si="3"/>
        <v>15.873015873015872</v>
      </c>
      <c r="AA11">
        <f t="shared" si="3"/>
        <v>111.1111111111111</v>
      </c>
      <c r="AB11">
        <f t="shared" si="4"/>
        <v>158.73015873015871</v>
      </c>
      <c r="AC11">
        <f t="shared" si="5"/>
        <v>2.5911409254895999E-3</v>
      </c>
      <c r="AE11">
        <f t="shared" si="6"/>
        <v>8.9349687085848277E-3</v>
      </c>
      <c r="AG11">
        <f t="shared" si="7"/>
        <v>1.1330363922732083E-2</v>
      </c>
      <c r="AH11">
        <f t="shared" si="8"/>
        <v>8.8766452402816043</v>
      </c>
      <c r="AI11">
        <f t="shared" si="9"/>
        <v>0.14285714285714285</v>
      </c>
      <c r="AJ11">
        <f t="shared" si="10"/>
        <v>0.61258790353197956</v>
      </c>
      <c r="AK11">
        <f t="shared" si="11"/>
        <v>3.8314176245210725E-2</v>
      </c>
      <c r="AM11">
        <f t="shared" si="12"/>
        <v>0.17879523809523806</v>
      </c>
      <c r="AN11">
        <f t="shared" si="13"/>
        <v>0.29186870498807399</v>
      </c>
      <c r="AO11">
        <f t="shared" si="14"/>
        <v>4.1011435952053879E-2</v>
      </c>
      <c r="AP11">
        <f t="shared" si="15"/>
        <v>8.8990736104413964E-2</v>
      </c>
      <c r="AQ11">
        <f t="shared" si="16"/>
        <v>2.9881708627863292E-2</v>
      </c>
      <c r="AR11">
        <f t="shared" si="17"/>
        <v>3.8685840285954856E-2</v>
      </c>
      <c r="AS11">
        <f t="shared" si="18"/>
        <v>1.6093596059113299E-2</v>
      </c>
    </row>
    <row r="12" spans="2:45" x14ac:dyDescent="0.2">
      <c r="B12">
        <v>250</v>
      </c>
      <c r="C12">
        <v>0.60545000000000004</v>
      </c>
      <c r="D12">
        <v>2.4231999999999999E-3</v>
      </c>
      <c r="E12">
        <v>20.97</v>
      </c>
      <c r="F12">
        <v>19.815000000000001</v>
      </c>
      <c r="K12">
        <v>10</v>
      </c>
      <c r="L12">
        <v>80</v>
      </c>
      <c r="M12">
        <v>28.069099999999999</v>
      </c>
      <c r="N12">
        <v>1.1082000000000001</v>
      </c>
      <c r="O12">
        <v>26.993300000000001</v>
      </c>
      <c r="P12">
        <v>1.1853</v>
      </c>
      <c r="Q12">
        <f>48/(250/2000)</f>
        <v>384</v>
      </c>
      <c r="R12">
        <f t="shared" si="1"/>
        <v>109.34592910011688</v>
      </c>
      <c r="S12">
        <f t="shared" si="0"/>
        <v>4.3171016751071294</v>
      </c>
      <c r="T12">
        <f t="shared" si="0"/>
        <v>105.15504479937671</v>
      </c>
      <c r="U12">
        <f t="shared" si="0"/>
        <v>4.6174522789248149</v>
      </c>
      <c r="V12">
        <f t="shared" si="2"/>
        <v>1.0413898009534941</v>
      </c>
      <c r="W12">
        <f t="shared" si="2"/>
        <v>4.1115254048639326E-2</v>
      </c>
      <c r="X12">
        <f t="shared" si="2"/>
        <v>1.0014766171369212</v>
      </c>
      <c r="Y12">
        <f t="shared" si="2"/>
        <v>4.3975735989760144E-2</v>
      </c>
      <c r="Z12">
        <f t="shared" si="3"/>
        <v>15.873015873015872</v>
      </c>
      <c r="AA12">
        <f t="shared" si="3"/>
        <v>126.98412698412697</v>
      </c>
      <c r="AB12">
        <f t="shared" si="4"/>
        <v>158.73015873015871</v>
      </c>
      <c r="AC12">
        <f t="shared" si="5"/>
        <v>2.5911409254895999E-3</v>
      </c>
      <c r="AE12">
        <f t="shared" si="6"/>
        <v>8.9349687085848277E-3</v>
      </c>
      <c r="AG12">
        <f t="shared" si="7"/>
        <v>1.1330363922732083E-2</v>
      </c>
      <c r="AH12">
        <f t="shared" si="8"/>
        <v>10.14473741746469</v>
      </c>
      <c r="AI12">
        <f t="shared" si="9"/>
        <v>0.125</v>
      </c>
      <c r="AJ12">
        <f t="shared" si="10"/>
        <v>0.61258790353197956</v>
      </c>
      <c r="AK12">
        <f t="shared" si="11"/>
        <v>4.3787629994526546E-2</v>
      </c>
      <c r="AM12">
        <f t="shared" si="12"/>
        <v>0.17879523809523806</v>
      </c>
      <c r="AN12">
        <f t="shared" si="13"/>
        <v>0.29186870498807399</v>
      </c>
      <c r="AO12">
        <f t="shared" si="14"/>
        <v>3.5079581027923162E-2</v>
      </c>
      <c r="AP12">
        <f t="shared" si="15"/>
        <v>7.6119201033558972E-2</v>
      </c>
      <c r="AQ12">
        <f t="shared" si="16"/>
        <v>2.545746118779766E-2</v>
      </c>
      <c r="AR12">
        <f t="shared" si="17"/>
        <v>3.2958064408630069E-2</v>
      </c>
      <c r="AS12">
        <f t="shared" si="18"/>
        <v>1.2321659482758622E-2</v>
      </c>
    </row>
    <row r="13" spans="2:45" x14ac:dyDescent="0.2">
      <c r="B13">
        <v>198</v>
      </c>
      <c r="C13">
        <v>0.49723000000000001</v>
      </c>
      <c r="D13">
        <v>2.5052999999999998E-3</v>
      </c>
      <c r="E13">
        <v>20.97</v>
      </c>
      <c r="F13">
        <v>16.273</v>
      </c>
      <c r="K13">
        <v>10</v>
      </c>
      <c r="L13">
        <v>90</v>
      </c>
      <c r="M13">
        <v>28.851099999999999</v>
      </c>
      <c r="N13">
        <v>1.3593999999999999</v>
      </c>
      <c r="O13">
        <v>27.5898</v>
      </c>
      <c r="P13">
        <v>1.3153999999999999</v>
      </c>
      <c r="Q13">
        <f>52/(250/2000)</f>
        <v>416</v>
      </c>
      <c r="R13">
        <f t="shared" si="1"/>
        <v>112.39228671601091</v>
      </c>
      <c r="S13">
        <f t="shared" si="0"/>
        <v>5.2956758862485396</v>
      </c>
      <c r="T13">
        <f t="shared" si="0"/>
        <v>107.47876899104013</v>
      </c>
      <c r="U13">
        <f t="shared" si="0"/>
        <v>5.1242695753798211</v>
      </c>
      <c r="V13">
        <f t="shared" si="2"/>
        <v>1.0704027306286754</v>
      </c>
      <c r="W13">
        <f t="shared" si="2"/>
        <v>5.0435008440462281E-2</v>
      </c>
      <c r="X13">
        <f t="shared" si="2"/>
        <v>1.0236073237241916</v>
      </c>
      <c r="Y13">
        <f t="shared" si="2"/>
        <v>4.8802567384569721E-2</v>
      </c>
      <c r="Z13">
        <f t="shared" si="3"/>
        <v>15.873015873015872</v>
      </c>
      <c r="AA13">
        <f t="shared" si="3"/>
        <v>142.85714285714283</v>
      </c>
      <c r="AB13">
        <f t="shared" si="4"/>
        <v>158.73015873015871</v>
      </c>
      <c r="AC13">
        <f t="shared" si="5"/>
        <v>2.5911409254895999E-3</v>
      </c>
      <c r="AE13">
        <f t="shared" si="6"/>
        <v>8.9349687085848277E-3</v>
      </c>
      <c r="AG13">
        <f t="shared" si="7"/>
        <v>1.1330363922732083E-2</v>
      </c>
      <c r="AH13">
        <f t="shared" si="8"/>
        <v>11.412829594647773</v>
      </c>
      <c r="AI13">
        <f t="shared" si="9"/>
        <v>0.1111111111111111</v>
      </c>
      <c r="AJ13">
        <f t="shared" si="10"/>
        <v>0.61258790353197956</v>
      </c>
      <c r="AK13">
        <f t="shared" si="11"/>
        <v>4.926108374384236E-2</v>
      </c>
      <c r="AM13">
        <f t="shared" si="12"/>
        <v>0.17879523809523806</v>
      </c>
      <c r="AN13">
        <f t="shared" si="13"/>
        <v>0.29186870498807399</v>
      </c>
      <c r="AO13">
        <f t="shared" si="14"/>
        <v>3.0563701287190256E-2</v>
      </c>
      <c r="AP13">
        <f t="shared" si="15"/>
        <v>6.6320191246224139E-2</v>
      </c>
      <c r="AQ13">
        <f t="shared" si="16"/>
        <v>2.2102024876260135E-2</v>
      </c>
      <c r="AR13">
        <f t="shared" si="17"/>
        <v>2.8614006481607949E-2</v>
      </c>
      <c r="AS13">
        <f t="shared" si="18"/>
        <v>9.7356321839080478E-3</v>
      </c>
    </row>
    <row r="14" spans="2:45" x14ac:dyDescent="0.2">
      <c r="B14">
        <v>158</v>
      </c>
      <c r="C14">
        <v>0.40772000000000003</v>
      </c>
      <c r="D14">
        <v>2.5861999999999999E-3</v>
      </c>
      <c r="E14">
        <v>20.97</v>
      </c>
      <c r="F14">
        <v>13.343999999999999</v>
      </c>
      <c r="K14">
        <v>10</v>
      </c>
      <c r="L14">
        <v>100</v>
      </c>
      <c r="M14">
        <v>52.385599999999997</v>
      </c>
      <c r="N14">
        <v>1.7161</v>
      </c>
      <c r="O14">
        <v>46.377499999999998</v>
      </c>
      <c r="P14">
        <v>3.6143000000000001</v>
      </c>
      <c r="Q14">
        <f>39/(250/2000)</f>
        <v>312</v>
      </c>
      <c r="R14">
        <f t="shared" si="1"/>
        <v>204.07323724191664</v>
      </c>
      <c r="S14">
        <f t="shared" si="0"/>
        <v>6.6852356836774449</v>
      </c>
      <c r="T14">
        <f t="shared" si="0"/>
        <v>180.66809505259059</v>
      </c>
      <c r="U14">
        <f t="shared" si="0"/>
        <v>14.079859758472926</v>
      </c>
      <c r="V14">
        <f t="shared" si="2"/>
        <v>1.9435546403992061</v>
      </c>
      <c r="W14">
        <f t="shared" si="2"/>
        <v>6.3668911273118522E-2</v>
      </c>
      <c r="X14">
        <f t="shared" si="2"/>
        <v>1.7206485243103866</v>
      </c>
      <c r="Y14">
        <f t="shared" si="2"/>
        <v>0.1340939024616469</v>
      </c>
      <c r="Z14">
        <f t="shared" si="3"/>
        <v>15.873015873015872</v>
      </c>
      <c r="AA14">
        <f t="shared" si="3"/>
        <v>158.73015873015871</v>
      </c>
      <c r="AB14">
        <f t="shared" si="4"/>
        <v>158.73015873015871</v>
      </c>
      <c r="AC14">
        <f t="shared" si="5"/>
        <v>2.5911409254895999E-3</v>
      </c>
      <c r="AE14">
        <f t="shared" si="6"/>
        <v>8.9349687085848277E-3</v>
      </c>
      <c r="AG14">
        <f t="shared" si="7"/>
        <v>1.1330363922732083E-2</v>
      </c>
      <c r="AH14">
        <f t="shared" si="8"/>
        <v>12.68092177183086</v>
      </c>
      <c r="AI14">
        <f t="shared" si="9"/>
        <v>0.1</v>
      </c>
      <c r="AJ14">
        <f t="shared" si="10"/>
        <v>0.61258790353197956</v>
      </c>
      <c r="AK14">
        <f t="shared" si="11"/>
        <v>5.4734537493158181E-2</v>
      </c>
      <c r="AM14">
        <f t="shared" si="12"/>
        <v>0.17879523809523806</v>
      </c>
      <c r="AN14">
        <f t="shared" si="13"/>
        <v>0.29186870498807399</v>
      </c>
      <c r="AO14">
        <f t="shared" si="14"/>
        <v>2.7019025582645174E-2</v>
      </c>
      <c r="AP14">
        <f t="shared" si="15"/>
        <v>5.8628597599815827E-2</v>
      </c>
      <c r="AQ14">
        <f t="shared" si="16"/>
        <v>1.9477045316206514E-2</v>
      </c>
      <c r="AR14">
        <f t="shared" si="17"/>
        <v>2.5215621828347527E-2</v>
      </c>
      <c r="AS14">
        <f t="shared" si="18"/>
        <v>7.8858620689655195E-3</v>
      </c>
    </row>
    <row r="15" spans="2:45" x14ac:dyDescent="0.2">
      <c r="B15">
        <v>125</v>
      </c>
      <c r="C15">
        <v>0.33502999999999999</v>
      </c>
      <c r="D15">
        <v>2.6754000000000001E-3</v>
      </c>
      <c r="E15">
        <v>20.97</v>
      </c>
      <c r="F15">
        <v>10.965</v>
      </c>
      <c r="K15">
        <v>20</v>
      </c>
      <c r="L15">
        <v>20</v>
      </c>
      <c r="M15">
        <v>159.0729</v>
      </c>
      <c r="N15">
        <v>85.761430000000004</v>
      </c>
      <c r="O15">
        <v>68.087289999999996</v>
      </c>
      <c r="P15">
        <v>11.36279</v>
      </c>
      <c r="Q15">
        <f>8/(250/1000)</f>
        <v>32</v>
      </c>
      <c r="R15">
        <f t="shared" si="1"/>
        <v>619.68406700428523</v>
      </c>
      <c r="S15">
        <f t="shared" si="0"/>
        <v>334.09205298013251</v>
      </c>
      <c r="T15">
        <f t="shared" si="0"/>
        <v>265.24070899883134</v>
      </c>
      <c r="U15">
        <f t="shared" si="0"/>
        <v>44.264861706271915</v>
      </c>
      <c r="V15">
        <f t="shared" si="2"/>
        <v>5.9017530190884306</v>
      </c>
      <c r="W15">
        <f t="shared" si="2"/>
        <v>3.1818290760012622</v>
      </c>
      <c r="X15">
        <f t="shared" si="2"/>
        <v>2.5261019904650603</v>
      </c>
      <c r="Y15">
        <f t="shared" si="2"/>
        <v>0.42157011148830398</v>
      </c>
      <c r="Z15">
        <f t="shared" si="3"/>
        <v>31.746031746031743</v>
      </c>
      <c r="AA15">
        <f t="shared" si="3"/>
        <v>31.746031746031743</v>
      </c>
      <c r="AB15">
        <f t="shared" si="4"/>
        <v>317.46031746031741</v>
      </c>
      <c r="AC15">
        <f t="shared" si="5"/>
        <v>2.3479721395173567E-3</v>
      </c>
      <c r="AE15">
        <f t="shared" si="6"/>
        <v>8.0964556535081268E-3</v>
      </c>
      <c r="AG15">
        <f t="shared" si="7"/>
        <v>2.0534104154246856E-2</v>
      </c>
      <c r="AH15">
        <f t="shared" si="8"/>
        <v>2.5361843543661724</v>
      </c>
      <c r="AI15">
        <f t="shared" si="9"/>
        <v>1</v>
      </c>
      <c r="AJ15">
        <f t="shared" si="10"/>
        <v>1.3520616881151486</v>
      </c>
      <c r="AK15">
        <f t="shared" si="11"/>
        <v>1.0946907498631636E-2</v>
      </c>
      <c r="AM15">
        <f t="shared" si="12"/>
        <v>0.35759047619047613</v>
      </c>
      <c r="AN15">
        <f t="shared" si="13"/>
        <v>0.26447792976737455</v>
      </c>
      <c r="AO15">
        <f t="shared" si="14"/>
        <v>0.36017634213514332</v>
      </c>
      <c r="AP15">
        <f t="shared" si="15"/>
        <v>0.57212576818418692</v>
      </c>
      <c r="AQ15">
        <f t="shared" si="16"/>
        <v>0.30869036530912314</v>
      </c>
      <c r="AR15">
        <f t="shared" si="17"/>
        <v>0.36017634213514332</v>
      </c>
      <c r="AS15">
        <f t="shared" si="18"/>
        <v>0.39429310344827589</v>
      </c>
    </row>
    <row r="16" spans="2:45" x14ac:dyDescent="0.2">
      <c r="B16">
        <v>99.5</v>
      </c>
      <c r="C16">
        <v>0.27223000000000003</v>
      </c>
      <c r="D16">
        <v>2.7368000000000002E-3</v>
      </c>
      <c r="E16">
        <v>20.98</v>
      </c>
      <c r="F16">
        <v>8.9095999999999993</v>
      </c>
      <c r="K16">
        <v>20</v>
      </c>
      <c r="L16">
        <v>40</v>
      </c>
      <c r="M16">
        <v>71.379800000000003</v>
      </c>
      <c r="N16">
        <v>4.1224999999999996</v>
      </c>
      <c r="O16">
        <v>61.862099999999998</v>
      </c>
      <c r="P16">
        <v>2.4262999999999999</v>
      </c>
      <c r="Q16">
        <f>27/(250/500)</f>
        <v>54</v>
      </c>
      <c r="R16">
        <f t="shared" si="1"/>
        <v>278.06700428515779</v>
      </c>
      <c r="S16">
        <f t="shared" si="0"/>
        <v>16.059602649006621</v>
      </c>
      <c r="T16">
        <f t="shared" si="0"/>
        <v>240.98987144526686</v>
      </c>
      <c r="U16">
        <f t="shared" si="0"/>
        <v>9.4518893650175304</v>
      </c>
      <c r="V16">
        <f t="shared" si="2"/>
        <v>2.6482571836681696</v>
      </c>
      <c r="W16">
        <f t="shared" si="2"/>
        <v>0.15294859665720592</v>
      </c>
      <c r="X16">
        <f t="shared" si="2"/>
        <v>2.2951416328120655</v>
      </c>
      <c r="Y16">
        <f t="shared" si="2"/>
        <v>9.0017993952547906E-2</v>
      </c>
      <c r="Z16">
        <f t="shared" si="3"/>
        <v>31.746031746031743</v>
      </c>
      <c r="AA16">
        <f t="shared" si="3"/>
        <v>63.492063492063487</v>
      </c>
      <c r="AB16">
        <f t="shared" si="4"/>
        <v>317.46031746031741</v>
      </c>
      <c r="AC16">
        <f t="shared" si="5"/>
        <v>2.3479721395173567E-3</v>
      </c>
      <c r="AE16">
        <f t="shared" si="6"/>
        <v>8.0964556535081268E-3</v>
      </c>
      <c r="AG16">
        <f t="shared" si="7"/>
        <v>2.0534104154246856E-2</v>
      </c>
      <c r="AH16">
        <f t="shared" si="8"/>
        <v>5.0723687087323448</v>
      </c>
      <c r="AI16">
        <f t="shared" si="9"/>
        <v>0.5</v>
      </c>
      <c r="AJ16">
        <f t="shared" si="10"/>
        <v>1.3520616881151486</v>
      </c>
      <c r="AK16">
        <f t="shared" si="11"/>
        <v>2.1893814997263273E-2</v>
      </c>
      <c r="AM16">
        <f t="shared" si="12"/>
        <v>0.35759047619047613</v>
      </c>
      <c r="AN16">
        <f t="shared" si="13"/>
        <v>0.26447792976737455</v>
      </c>
      <c r="AO16">
        <f t="shared" si="14"/>
        <v>0.16007005281808431</v>
      </c>
      <c r="AP16">
        <f t="shared" si="15"/>
        <v>0.25426490087865811</v>
      </c>
      <c r="AQ16">
        <f t="shared" si="16"/>
        <v>0.1343652857019717</v>
      </c>
      <c r="AR16">
        <f t="shared" si="17"/>
        <v>0.15677585876584324</v>
      </c>
      <c r="AS16">
        <f t="shared" si="18"/>
        <v>9.8573275862068974E-2</v>
      </c>
    </row>
    <row r="17" spans="2:45" x14ac:dyDescent="0.2">
      <c r="B17">
        <v>79</v>
      </c>
      <c r="C17">
        <v>0.22184999999999999</v>
      </c>
      <c r="D17">
        <v>2.8078000000000001E-3</v>
      </c>
      <c r="E17">
        <v>20.98</v>
      </c>
      <c r="F17">
        <v>7.2607999999999997</v>
      </c>
      <c r="K17">
        <v>20</v>
      </c>
      <c r="L17">
        <v>60</v>
      </c>
      <c r="M17">
        <v>66.38</v>
      </c>
      <c r="N17">
        <v>4.7854000000000001</v>
      </c>
      <c r="O17">
        <v>58.440199999999997</v>
      </c>
      <c r="P17">
        <v>3.3837000000000002</v>
      </c>
      <c r="Q17">
        <f>36/(250/500)</f>
        <v>72</v>
      </c>
      <c r="R17">
        <f t="shared" si="1"/>
        <v>258.58979353330739</v>
      </c>
      <c r="S17">
        <f t="shared" si="0"/>
        <v>18.641994546162838</v>
      </c>
      <c r="T17">
        <f t="shared" si="0"/>
        <v>227.65952473704715</v>
      </c>
      <c r="U17">
        <f t="shared" si="0"/>
        <v>13.181534865601872</v>
      </c>
      <c r="V17">
        <f t="shared" si="2"/>
        <v>2.4627599384124514</v>
      </c>
      <c r="W17">
        <f t="shared" si="2"/>
        <v>0.17754280520155083</v>
      </c>
      <c r="X17">
        <f t="shared" si="2"/>
        <v>2.1681859498766394</v>
      </c>
      <c r="Y17">
        <f t="shared" si="2"/>
        <v>0.1255384272914464</v>
      </c>
      <c r="Z17">
        <f t="shared" si="3"/>
        <v>31.746031746031743</v>
      </c>
      <c r="AA17">
        <f t="shared" si="3"/>
        <v>95.238095238095227</v>
      </c>
      <c r="AB17">
        <f t="shared" si="4"/>
        <v>317.46031746031741</v>
      </c>
      <c r="AC17">
        <f t="shared" si="5"/>
        <v>2.3479721395173567E-3</v>
      </c>
      <c r="AE17">
        <f t="shared" si="6"/>
        <v>8.0964556535081268E-3</v>
      </c>
      <c r="AG17">
        <f t="shared" si="7"/>
        <v>2.0534104154246856E-2</v>
      </c>
      <c r="AH17">
        <f t="shared" si="8"/>
        <v>7.6085530630985172</v>
      </c>
      <c r="AI17">
        <f t="shared" si="9"/>
        <v>0.33333333333333331</v>
      </c>
      <c r="AJ17">
        <f t="shared" si="10"/>
        <v>1.3520616881151486</v>
      </c>
      <c r="AK17">
        <f t="shared" si="11"/>
        <v>3.2840722495894911E-2</v>
      </c>
      <c r="AM17">
        <f t="shared" si="12"/>
        <v>0.35759047619047613</v>
      </c>
      <c r="AN17">
        <f t="shared" si="13"/>
        <v>0.26447792976737455</v>
      </c>
      <c r="AO17">
        <f t="shared" si="14"/>
        <v>9.9605498913423088E-2</v>
      </c>
      <c r="AP17">
        <f t="shared" si="15"/>
        <v>0.15821936622319599</v>
      </c>
      <c r="AQ17">
        <f t="shared" si="16"/>
        <v>8.2599528649527201E-2</v>
      </c>
      <c r="AR17">
        <f t="shared" si="17"/>
        <v>9.637617313155071E-2</v>
      </c>
      <c r="AS17">
        <f t="shared" si="18"/>
        <v>4.3810344827586209E-2</v>
      </c>
    </row>
    <row r="18" spans="2:45" x14ac:dyDescent="0.2">
      <c r="B18">
        <v>62.8</v>
      </c>
      <c r="C18">
        <v>0.18140000000000001</v>
      </c>
      <c r="D18">
        <v>2.8903000000000002E-3</v>
      </c>
      <c r="E18">
        <v>20.98</v>
      </c>
      <c r="F18">
        <v>5.9367999999999999</v>
      </c>
      <c r="K18">
        <v>20</v>
      </c>
      <c r="L18">
        <v>80</v>
      </c>
      <c r="M18">
        <v>56.387999999999998</v>
      </c>
      <c r="N18">
        <v>3.3473000000000002</v>
      </c>
      <c r="O18">
        <v>50.293199999999999</v>
      </c>
      <c r="P18">
        <v>2.9196</v>
      </c>
      <c r="Q18">
        <f>27/(250/2000)</f>
        <v>216</v>
      </c>
      <c r="R18">
        <f t="shared" si="1"/>
        <v>219.66497857421115</v>
      </c>
      <c r="S18">
        <f t="shared" si="0"/>
        <v>13.039735099337749</v>
      </c>
      <c r="T18">
        <f t="shared" si="0"/>
        <v>195.92208804051424</v>
      </c>
      <c r="U18">
        <f t="shared" si="0"/>
        <v>11.37358784573432</v>
      </c>
      <c r="V18">
        <f t="shared" si="2"/>
        <v>2.092047414992487</v>
      </c>
      <c r="W18">
        <f t="shared" si="2"/>
        <v>0.12418795332702619</v>
      </c>
      <c r="X18">
        <f t="shared" si="2"/>
        <v>1.8659246480048974</v>
      </c>
      <c r="Y18">
        <f t="shared" si="2"/>
        <v>0.10831988424508876</v>
      </c>
      <c r="Z18">
        <f t="shared" si="3"/>
        <v>31.746031746031743</v>
      </c>
      <c r="AA18">
        <f t="shared" si="3"/>
        <v>126.98412698412697</v>
      </c>
      <c r="AB18">
        <f t="shared" si="4"/>
        <v>317.46031746031741</v>
      </c>
      <c r="AC18">
        <f t="shared" si="5"/>
        <v>2.3479721395173567E-3</v>
      </c>
      <c r="AE18">
        <f t="shared" si="6"/>
        <v>8.0964556535081268E-3</v>
      </c>
      <c r="AG18">
        <f t="shared" si="7"/>
        <v>2.0534104154246856E-2</v>
      </c>
      <c r="AH18">
        <f t="shared" si="8"/>
        <v>10.14473741746469</v>
      </c>
      <c r="AI18">
        <f t="shared" si="9"/>
        <v>0.25</v>
      </c>
      <c r="AJ18">
        <f t="shared" si="10"/>
        <v>1.3520616881151486</v>
      </c>
      <c r="AK18">
        <f t="shared" si="11"/>
        <v>4.3787629994526546E-2</v>
      </c>
      <c r="AM18">
        <f t="shared" si="12"/>
        <v>0.35759047619047613</v>
      </c>
      <c r="AN18">
        <f t="shared" si="13"/>
        <v>0.26447792976737455</v>
      </c>
      <c r="AO18">
        <f t="shared" si="14"/>
        <v>7.1138547460650292E-2</v>
      </c>
      <c r="AP18">
        <f t="shared" si="15"/>
        <v>0.11300074811176934</v>
      </c>
      <c r="AQ18">
        <f t="shared" si="16"/>
        <v>5.8485887577648082E-2</v>
      </c>
      <c r="AR18">
        <f t="shared" si="17"/>
        <v>6.8240656079919221E-2</v>
      </c>
      <c r="AS18">
        <f t="shared" si="18"/>
        <v>2.4643318965517243E-2</v>
      </c>
    </row>
    <row r="19" spans="2:45" x14ac:dyDescent="0.2">
      <c r="B19">
        <v>50</v>
      </c>
      <c r="C19">
        <v>0.14781</v>
      </c>
      <c r="D19">
        <v>2.9572000000000001E-3</v>
      </c>
      <c r="E19">
        <v>20.98</v>
      </c>
      <c r="F19">
        <v>4.8376000000000001</v>
      </c>
      <c r="K19">
        <v>40</v>
      </c>
      <c r="L19">
        <v>100</v>
      </c>
      <c r="M19">
        <v>93.794449999999998</v>
      </c>
      <c r="N19">
        <v>40.16254</v>
      </c>
      <c r="O19">
        <v>58.735639999999997</v>
      </c>
      <c r="P19">
        <v>8.0645509999999998</v>
      </c>
      <c r="Q19">
        <f>25/(250/2000)</f>
        <v>200</v>
      </c>
      <c r="R19">
        <f t="shared" si="1"/>
        <v>365.38546941955593</v>
      </c>
      <c r="S19">
        <f t="shared" si="0"/>
        <v>156.45710946630308</v>
      </c>
      <c r="T19">
        <f t="shared" si="0"/>
        <v>228.8104402025711</v>
      </c>
      <c r="U19">
        <f t="shared" si="0"/>
        <v>31.416248539150761</v>
      </c>
      <c r="V19">
        <f t="shared" si="2"/>
        <v>3.4798616135195801</v>
      </c>
      <c r="W19">
        <f t="shared" si="2"/>
        <v>1.4900677092028864</v>
      </c>
      <c r="X19">
        <f t="shared" si="2"/>
        <v>2.1791470495482961</v>
      </c>
      <c r="Y19">
        <f t="shared" si="2"/>
        <v>0.29920236703953107</v>
      </c>
      <c r="Z19">
        <f t="shared" si="3"/>
        <v>63.492063492063487</v>
      </c>
      <c r="AA19">
        <f t="shared" si="3"/>
        <v>158.73015873015871</v>
      </c>
      <c r="AB19">
        <f t="shared" si="4"/>
        <v>634.92063492063482</v>
      </c>
      <c r="AC19">
        <f t="shared" si="5"/>
        <v>2.0920256673218544E-3</v>
      </c>
      <c r="AE19">
        <f t="shared" si="6"/>
        <v>7.2138816114546709E-3</v>
      </c>
      <c r="AG19">
        <f t="shared" si="7"/>
        <v>3.6591467354442332E-2</v>
      </c>
      <c r="AH19">
        <f t="shared" si="8"/>
        <v>12.68092177183086</v>
      </c>
      <c r="AI19">
        <f t="shared" si="9"/>
        <v>0.4</v>
      </c>
      <c r="AJ19">
        <f t="shared" si="10"/>
        <v>3.0349562380534287</v>
      </c>
      <c r="AK19">
        <f t="shared" si="11"/>
        <v>5.4734537493158181E-2</v>
      </c>
      <c r="AM19">
        <f t="shared" si="12"/>
        <v>0.71518095238095225</v>
      </c>
      <c r="AN19">
        <f t="shared" si="13"/>
        <v>0.23564786319280095</v>
      </c>
      <c r="AO19">
        <f t="shared" si="14"/>
        <v>0.11111453513716595</v>
      </c>
      <c r="AP19">
        <f t="shared" si="15"/>
        <v>0.12920630326381646</v>
      </c>
      <c r="AQ19">
        <f t="shared" si="16"/>
        <v>0.10280046149286655</v>
      </c>
      <c r="AR19">
        <f t="shared" si="17"/>
        <v>0.10810173726789507</v>
      </c>
      <c r="AS19">
        <f t="shared" si="18"/>
        <v>3.1543448275862078E-2</v>
      </c>
    </row>
    <row r="20" spans="2:45" x14ac:dyDescent="0.2">
      <c r="B20">
        <v>39.6</v>
      </c>
      <c r="C20">
        <v>0.11915000000000001</v>
      </c>
      <c r="D20">
        <v>3.0095999999999999E-3</v>
      </c>
      <c r="E20">
        <v>20.98</v>
      </c>
      <c r="F20">
        <v>3.8996</v>
      </c>
      <c r="K20" s="7">
        <v>40</v>
      </c>
      <c r="L20" s="7">
        <v>40</v>
      </c>
      <c r="M20" s="7"/>
      <c r="N20" s="7"/>
      <c r="O20" s="7"/>
      <c r="P20" s="7"/>
      <c r="Q20" s="7"/>
      <c r="R20">
        <f t="shared" si="1"/>
        <v>0</v>
      </c>
      <c r="S20">
        <f t="shared" si="1"/>
        <v>0</v>
      </c>
      <c r="T20">
        <f t="shared" si="1"/>
        <v>0</v>
      </c>
      <c r="U20">
        <f t="shared" si="1"/>
        <v>0</v>
      </c>
      <c r="V20">
        <f t="shared" si="2"/>
        <v>0</v>
      </c>
      <c r="W20">
        <f t="shared" si="2"/>
        <v>0</v>
      </c>
      <c r="X20">
        <f t="shared" si="2"/>
        <v>0</v>
      </c>
      <c r="Y20">
        <f t="shared" si="2"/>
        <v>0</v>
      </c>
      <c r="Z20">
        <f t="shared" si="3"/>
        <v>63.492063492063487</v>
      </c>
      <c r="AA20">
        <f t="shared" si="3"/>
        <v>63.492063492063487</v>
      </c>
      <c r="AB20">
        <f t="shared" si="4"/>
        <v>634.92063492063482</v>
      </c>
      <c r="AC20">
        <f t="shared" si="5"/>
        <v>2.0920256673218544E-3</v>
      </c>
      <c r="AE20">
        <f t="shared" si="6"/>
        <v>7.2138816114546709E-3</v>
      </c>
      <c r="AG20">
        <f t="shared" si="7"/>
        <v>3.6591467354442332E-2</v>
      </c>
      <c r="AH20">
        <f t="shared" si="8"/>
        <v>5.0723687087323448</v>
      </c>
      <c r="AI20">
        <f t="shared" si="9"/>
        <v>1</v>
      </c>
      <c r="AJ20">
        <f t="shared" si="10"/>
        <v>3.0349562380534287</v>
      </c>
      <c r="AK20">
        <f t="shared" si="11"/>
        <v>2.1893814997263273E-2</v>
      </c>
      <c r="AM20">
        <f t="shared" si="12"/>
        <v>0.71518095238095225</v>
      </c>
      <c r="AN20">
        <f t="shared" si="13"/>
        <v>0.23564786319280095</v>
      </c>
      <c r="AO20">
        <f t="shared" si="14"/>
        <v>0.3246090949707745</v>
      </c>
      <c r="AP20">
        <f t="shared" si="15"/>
        <v>0.3774622385380268</v>
      </c>
      <c r="AQ20">
        <f t="shared" si="16"/>
        <v>0.30869036530912314</v>
      </c>
      <c r="AR20">
        <f t="shared" si="17"/>
        <v>0.32460909497077456</v>
      </c>
      <c r="AS20">
        <f t="shared" si="18"/>
        <v>0.19714655172413795</v>
      </c>
    </row>
    <row r="21" spans="2:45" x14ac:dyDescent="0.2">
      <c r="B21">
        <v>31.5</v>
      </c>
      <c r="C21">
        <v>9.7017999999999993E-2</v>
      </c>
      <c r="D21">
        <v>3.0841000000000002E-3</v>
      </c>
      <c r="E21">
        <v>20.98</v>
      </c>
      <c r="F21">
        <v>3.1751999999999998</v>
      </c>
      <c r="K21" s="7">
        <v>40</v>
      </c>
      <c r="L21" s="7">
        <v>60</v>
      </c>
      <c r="M21" s="7"/>
      <c r="N21" s="7"/>
      <c r="O21" s="7"/>
      <c r="P21" s="7"/>
      <c r="Q21" s="7">
        <f>3/(250/2000)</f>
        <v>24</v>
      </c>
      <c r="R21">
        <f t="shared" si="1"/>
        <v>0</v>
      </c>
      <c r="S21">
        <f t="shared" si="1"/>
        <v>0</v>
      </c>
      <c r="T21">
        <f t="shared" si="1"/>
        <v>0</v>
      </c>
      <c r="U21">
        <f t="shared" si="1"/>
        <v>0</v>
      </c>
      <c r="V21">
        <f t="shared" si="2"/>
        <v>0</v>
      </c>
      <c r="W21">
        <f t="shared" si="2"/>
        <v>0</v>
      </c>
      <c r="X21">
        <f t="shared" si="2"/>
        <v>0</v>
      </c>
      <c r="Y21">
        <f t="shared" si="2"/>
        <v>0</v>
      </c>
      <c r="Z21">
        <f t="shared" si="3"/>
        <v>63.492063492063487</v>
      </c>
      <c r="AA21">
        <f t="shared" si="3"/>
        <v>95.238095238095227</v>
      </c>
      <c r="AB21">
        <f t="shared" si="4"/>
        <v>634.92063492063482</v>
      </c>
      <c r="AC21">
        <f t="shared" si="5"/>
        <v>2.0920256673218544E-3</v>
      </c>
      <c r="AE21">
        <f t="shared" si="6"/>
        <v>7.2138816114546709E-3</v>
      </c>
      <c r="AG21">
        <f t="shared" si="7"/>
        <v>3.6591467354442332E-2</v>
      </c>
      <c r="AH21">
        <f t="shared" si="8"/>
        <v>7.6085530630985172</v>
      </c>
      <c r="AI21">
        <f t="shared" si="9"/>
        <v>0.66666666666666663</v>
      </c>
      <c r="AJ21">
        <f t="shared" si="10"/>
        <v>3.0349562380534287</v>
      </c>
      <c r="AK21">
        <f t="shared" si="11"/>
        <v>3.2840722495894911E-2</v>
      </c>
      <c r="AM21">
        <f t="shared" si="12"/>
        <v>0.71518095238095225</v>
      </c>
      <c r="AN21">
        <f t="shared" si="13"/>
        <v>0.23564786319280095</v>
      </c>
      <c r="AO21">
        <f t="shared" si="14"/>
        <v>0.20199187972496155</v>
      </c>
      <c r="AP21">
        <f t="shared" si="15"/>
        <v>0.23488037848832408</v>
      </c>
      <c r="AQ21">
        <f t="shared" si="16"/>
        <v>0.18976388536648472</v>
      </c>
      <c r="AR21">
        <f t="shared" si="17"/>
        <v>0.1995497430743165</v>
      </c>
      <c r="AS21">
        <f t="shared" si="18"/>
        <v>8.7620689655172418E-2</v>
      </c>
    </row>
    <row r="22" spans="2:45" x14ac:dyDescent="0.2">
      <c r="B22">
        <v>25</v>
      </c>
      <c r="C22">
        <v>7.8514E-2</v>
      </c>
      <c r="D22">
        <v>3.1423000000000002E-3</v>
      </c>
      <c r="E22">
        <v>20.98</v>
      </c>
      <c r="F22">
        <v>2.5695999999999999</v>
      </c>
      <c r="K22">
        <v>40</v>
      </c>
      <c r="L22">
        <v>80</v>
      </c>
      <c r="M22">
        <v>133.6446</v>
      </c>
      <c r="N22">
        <v>15.934900000000001</v>
      </c>
      <c r="O22">
        <v>64.214100000000002</v>
      </c>
      <c r="P22">
        <v>0.16750000000000001</v>
      </c>
      <c r="Q22">
        <f>15/(250/2000)</f>
        <v>120</v>
      </c>
      <c r="R22">
        <f t="shared" si="1"/>
        <v>520.62563303467084</v>
      </c>
      <c r="S22">
        <f t="shared" si="1"/>
        <v>62.075964160498643</v>
      </c>
      <c r="T22">
        <f t="shared" si="1"/>
        <v>250.15231788079473</v>
      </c>
      <c r="U22">
        <f t="shared" si="1"/>
        <v>0.65251266069341651</v>
      </c>
      <c r="V22">
        <f t="shared" si="2"/>
        <v>4.9583393622349607</v>
      </c>
      <c r="W22">
        <f t="shared" si="2"/>
        <v>0.59119965867141566</v>
      </c>
      <c r="X22">
        <f t="shared" si="2"/>
        <v>2.3824030274361401</v>
      </c>
      <c r="Y22">
        <f t="shared" si="2"/>
        <v>6.2144062923182525E-3</v>
      </c>
      <c r="Z22">
        <f t="shared" si="3"/>
        <v>63.492063492063487</v>
      </c>
      <c r="AA22">
        <f t="shared" si="3"/>
        <v>126.98412698412697</v>
      </c>
      <c r="AB22">
        <f t="shared" si="4"/>
        <v>634.92063492063482</v>
      </c>
      <c r="AC22">
        <f t="shared" si="5"/>
        <v>2.0920256673218544E-3</v>
      </c>
      <c r="AE22">
        <f t="shared" si="6"/>
        <v>7.2138816114546709E-3</v>
      </c>
      <c r="AG22">
        <f t="shared" si="7"/>
        <v>3.6591467354442332E-2</v>
      </c>
      <c r="AH22">
        <f t="shared" si="8"/>
        <v>10.14473741746469</v>
      </c>
      <c r="AI22">
        <f t="shared" si="9"/>
        <v>0.5</v>
      </c>
      <c r="AJ22">
        <f t="shared" si="10"/>
        <v>3.0349562380534287</v>
      </c>
      <c r="AK22">
        <f t="shared" si="11"/>
        <v>4.3787629994526546E-2</v>
      </c>
      <c r="AM22">
        <f t="shared" si="12"/>
        <v>0.71518095238095225</v>
      </c>
      <c r="AN22">
        <f t="shared" si="13"/>
        <v>0.23564786319280095</v>
      </c>
      <c r="AO22">
        <f t="shared" si="14"/>
        <v>0.14426320915243851</v>
      </c>
      <c r="AP22">
        <f t="shared" si="15"/>
        <v>0.16775227407063759</v>
      </c>
      <c r="AQ22">
        <f t="shared" si="16"/>
        <v>0.1343652857019717</v>
      </c>
      <c r="AR22">
        <f t="shared" si="17"/>
        <v>0.14129431523892644</v>
      </c>
      <c r="AS22">
        <f t="shared" si="18"/>
        <v>4.9286637931034487E-2</v>
      </c>
    </row>
    <row r="23" spans="2:45" x14ac:dyDescent="0.2">
      <c r="B23">
        <v>19.8</v>
      </c>
      <c r="C23">
        <v>6.3911999999999997E-2</v>
      </c>
      <c r="D23">
        <v>3.2201E-3</v>
      </c>
      <c r="E23">
        <v>20.98</v>
      </c>
      <c r="F23">
        <v>2.0916999999999999</v>
      </c>
      <c r="K23">
        <v>5</v>
      </c>
      <c r="L23">
        <v>10</v>
      </c>
      <c r="M23">
        <v>70.063100000000006</v>
      </c>
      <c r="N23">
        <v>3.6029</v>
      </c>
      <c r="O23">
        <v>52.202800000000003</v>
      </c>
      <c r="P23">
        <v>13.195</v>
      </c>
      <c r="Q23">
        <f>21/(250/250)</f>
        <v>21</v>
      </c>
      <c r="R23">
        <f t="shared" si="1"/>
        <v>272.93767043241144</v>
      </c>
      <c r="S23">
        <f t="shared" si="1"/>
        <v>14.035449941566032</v>
      </c>
      <c r="T23">
        <f t="shared" si="1"/>
        <v>203.36112193221663</v>
      </c>
      <c r="U23">
        <f t="shared" si="1"/>
        <v>51.402415270744065</v>
      </c>
      <c r="V23">
        <f t="shared" si="2"/>
        <v>2.5994063850705853</v>
      </c>
      <c r="W23">
        <f t="shared" si="2"/>
        <v>0.13367095182443839</v>
      </c>
      <c r="X23">
        <f t="shared" si="2"/>
        <v>1.9367725898306345</v>
      </c>
      <c r="Y23">
        <f t="shared" si="2"/>
        <v>0.48954681210232442</v>
      </c>
      <c r="Z23">
        <f t="shared" si="3"/>
        <v>7.9365079365079358</v>
      </c>
      <c r="AA23">
        <f t="shared" si="3"/>
        <v>15.873015873015872</v>
      </c>
      <c r="AB23">
        <f t="shared" si="4"/>
        <v>79.365079365079353</v>
      </c>
      <c r="AC23">
        <f t="shared" si="5"/>
        <v>2.8147499689032615E-3</v>
      </c>
      <c r="AE23">
        <f t="shared" si="6"/>
        <v>9.706034375528489E-3</v>
      </c>
      <c r="AG23">
        <f t="shared" si="7"/>
        <v>6.1540731315388982E-3</v>
      </c>
      <c r="AH23">
        <f t="shared" si="8"/>
        <v>1.2680921771830862</v>
      </c>
      <c r="AI23">
        <f t="shared" si="9"/>
        <v>0.5</v>
      </c>
      <c r="AJ23">
        <f t="shared" si="10"/>
        <v>0.28196138286486294</v>
      </c>
      <c r="AK23">
        <f t="shared" si="11"/>
        <v>5.4734537493158182E-3</v>
      </c>
      <c r="AM23">
        <f t="shared" si="12"/>
        <v>8.9397619047619031E-2</v>
      </c>
      <c r="AN23">
        <f t="shared" si="13"/>
        <v>0.31705625124723225</v>
      </c>
      <c r="AO23">
        <f t="shared" si="14"/>
        <v>0.19706935127081018</v>
      </c>
      <c r="AP23">
        <f t="shared" si="15"/>
        <v>0.58414734674559754</v>
      </c>
      <c r="AQ23">
        <f t="shared" si="16"/>
        <v>0.1343652857019717</v>
      </c>
      <c r="AR23">
        <f t="shared" si="17"/>
        <v>0.19301372266691955</v>
      </c>
      <c r="AS23">
        <f t="shared" si="18"/>
        <v>0.39429310344827589</v>
      </c>
    </row>
    <row r="24" spans="2:45" x14ac:dyDescent="0.2">
      <c r="B24">
        <v>15.8</v>
      </c>
      <c r="C24">
        <v>5.1790999999999997E-2</v>
      </c>
      <c r="D24">
        <v>3.2850000000000002E-3</v>
      </c>
      <c r="E24">
        <v>20.98</v>
      </c>
      <c r="F24">
        <v>1.6950000000000001</v>
      </c>
      <c r="K24">
        <v>5</v>
      </c>
      <c r="L24">
        <v>20</v>
      </c>
      <c r="M24">
        <v>54.768099999999997</v>
      </c>
      <c r="N24">
        <v>2.2241</v>
      </c>
      <c r="O24">
        <v>49.51</v>
      </c>
      <c r="P24">
        <v>7.3037999999999998</v>
      </c>
      <c r="Q24">
        <f>42/(250/500)</f>
        <v>84</v>
      </c>
      <c r="R24">
        <f t="shared" si="1"/>
        <v>213.35449941566031</v>
      </c>
      <c r="S24">
        <f t="shared" si="1"/>
        <v>8.6641994546162842</v>
      </c>
      <c r="T24">
        <f t="shared" si="1"/>
        <v>192.87105570705103</v>
      </c>
      <c r="U24">
        <f t="shared" si="1"/>
        <v>28.452668484612389</v>
      </c>
      <c r="V24">
        <f t="shared" si="2"/>
        <v>2.0319476134824792</v>
      </c>
      <c r="W24">
        <f t="shared" si="2"/>
        <v>8.2516185282059853E-2</v>
      </c>
      <c r="X24">
        <f t="shared" si="2"/>
        <v>1.8368671972100097</v>
      </c>
      <c r="Y24">
        <f t="shared" si="2"/>
        <v>0.27097779509154657</v>
      </c>
      <c r="Z24">
        <f t="shared" si="3"/>
        <v>7.9365079365079358</v>
      </c>
      <c r="AA24">
        <f t="shared" si="3"/>
        <v>31.746031746031743</v>
      </c>
      <c r="AB24">
        <f t="shared" si="4"/>
        <v>79.365079365079353</v>
      </c>
      <c r="AC24">
        <f t="shared" si="5"/>
        <v>2.8147499689032615E-3</v>
      </c>
      <c r="AE24">
        <f t="shared" si="6"/>
        <v>9.706034375528489E-3</v>
      </c>
      <c r="AG24">
        <f t="shared" si="7"/>
        <v>6.1540731315388982E-3</v>
      </c>
      <c r="AH24">
        <f t="shared" si="8"/>
        <v>2.5361843543661724</v>
      </c>
      <c r="AI24">
        <f t="shared" si="9"/>
        <v>0.25</v>
      </c>
      <c r="AJ24">
        <f t="shared" si="10"/>
        <v>0.28196138286486294</v>
      </c>
      <c r="AK24">
        <f t="shared" si="11"/>
        <v>1.0946907498631636E-2</v>
      </c>
      <c r="AM24">
        <f t="shared" si="12"/>
        <v>8.9397619047619031E-2</v>
      </c>
      <c r="AN24">
        <f t="shared" si="13"/>
        <v>0.31705625124723225</v>
      </c>
      <c r="AO24">
        <f t="shared" si="14"/>
        <v>8.758182527965179E-2</v>
      </c>
      <c r="AP24">
        <f t="shared" si="15"/>
        <v>0.25960754693884758</v>
      </c>
      <c r="AQ24">
        <f t="shared" si="16"/>
        <v>5.8485887577648082E-2</v>
      </c>
      <c r="AR24">
        <f t="shared" si="17"/>
        <v>8.4014102495784337E-2</v>
      </c>
      <c r="AS24">
        <f t="shared" si="18"/>
        <v>9.8573275862068974E-2</v>
      </c>
    </row>
    <row r="25" spans="2:45" x14ac:dyDescent="0.2">
      <c r="B25">
        <v>12.6</v>
      </c>
      <c r="C25">
        <v>4.0849999999999997E-2</v>
      </c>
      <c r="D25">
        <v>3.2493999999999999E-3</v>
      </c>
      <c r="E25">
        <v>20.98</v>
      </c>
      <c r="F25">
        <v>1.3369</v>
      </c>
      <c r="K25" s="7">
        <v>5</v>
      </c>
      <c r="L25" s="7">
        <v>30</v>
      </c>
      <c r="M25">
        <v>20.7667</v>
      </c>
      <c r="N25">
        <v>0.65800000000000003</v>
      </c>
      <c r="O25">
        <v>19.4117</v>
      </c>
      <c r="P25">
        <v>0.26939999999999997</v>
      </c>
      <c r="Q25" s="7">
        <f>82/(250/500)</f>
        <v>164</v>
      </c>
      <c r="R25">
        <f t="shared" si="1"/>
        <v>80.898714452668486</v>
      </c>
      <c r="S25">
        <f t="shared" si="1"/>
        <v>2.5633034670821973</v>
      </c>
      <c r="T25">
        <f t="shared" si="1"/>
        <v>75.620179197506815</v>
      </c>
      <c r="U25">
        <f t="shared" si="1"/>
        <v>1.049474094273471</v>
      </c>
      <c r="V25">
        <f t="shared" si="2"/>
        <v>0.77046394716827127</v>
      </c>
      <c r="W25">
        <f t="shared" si="2"/>
        <v>2.4412413972211403E-2</v>
      </c>
      <c r="X25">
        <f t="shared" si="2"/>
        <v>0.72019218283339825</v>
      </c>
      <c r="Y25">
        <f t="shared" si="2"/>
        <v>9.9949913740330579E-3</v>
      </c>
      <c r="Z25">
        <f t="shared" si="3"/>
        <v>7.9365079365079358</v>
      </c>
      <c r="AA25">
        <f t="shared" si="3"/>
        <v>47.619047619047613</v>
      </c>
      <c r="AB25">
        <f t="shared" si="4"/>
        <v>79.365079365079353</v>
      </c>
      <c r="AC25">
        <f t="shared" si="5"/>
        <v>2.8147499689032615E-3</v>
      </c>
      <c r="AE25">
        <f t="shared" si="6"/>
        <v>9.706034375528489E-3</v>
      </c>
      <c r="AG25">
        <f t="shared" si="7"/>
        <v>6.1540731315388982E-3</v>
      </c>
      <c r="AH25">
        <f t="shared" si="8"/>
        <v>3.8042765315492586</v>
      </c>
      <c r="AI25">
        <f t="shared" si="9"/>
        <v>0.16666666666666666</v>
      </c>
      <c r="AJ25">
        <f t="shared" si="10"/>
        <v>0.28196138286486294</v>
      </c>
      <c r="AK25">
        <f t="shared" si="11"/>
        <v>1.6420361247947456E-2</v>
      </c>
      <c r="AM25">
        <f t="shared" si="12"/>
        <v>8.9397619047619031E-2</v>
      </c>
      <c r="AN25">
        <f t="shared" si="13"/>
        <v>0.31705625124723225</v>
      </c>
      <c r="AO25">
        <f t="shared" si="14"/>
        <v>5.4498835035946151E-2</v>
      </c>
      <c r="AP25">
        <f t="shared" si="15"/>
        <v>0.16154389143559023</v>
      </c>
      <c r="AQ25">
        <f t="shared" si="16"/>
        <v>3.5953533096920121E-2</v>
      </c>
      <c r="AR25">
        <f t="shared" si="17"/>
        <v>5.1646712391599681E-2</v>
      </c>
      <c r="AS25">
        <f t="shared" si="18"/>
        <v>4.3810344827586209E-2</v>
      </c>
    </row>
    <row r="26" spans="2:45" x14ac:dyDescent="0.2">
      <c r="B26">
        <v>9.94</v>
      </c>
      <c r="C26">
        <v>3.3201000000000001E-2</v>
      </c>
      <c r="D26">
        <v>3.3389000000000001E-3</v>
      </c>
      <c r="E26">
        <v>20.98</v>
      </c>
      <c r="F26">
        <v>1.0866</v>
      </c>
      <c r="K26" s="7">
        <v>5</v>
      </c>
      <c r="L26" s="7">
        <v>40</v>
      </c>
      <c r="M26">
        <v>17.5823</v>
      </c>
      <c r="N26">
        <v>0.36230000000000001</v>
      </c>
      <c r="O26">
        <v>16.654599999999999</v>
      </c>
      <c r="P26">
        <v>0.31380000000000002</v>
      </c>
      <c r="Q26" s="7">
        <f>63/(250/250)</f>
        <v>63</v>
      </c>
      <c r="R26">
        <f t="shared" si="1"/>
        <v>68.493572263342429</v>
      </c>
      <c r="S26">
        <f t="shared" si="1"/>
        <v>1.4113751460849242</v>
      </c>
      <c r="T26">
        <f t="shared" si="1"/>
        <v>64.879626022594465</v>
      </c>
      <c r="U26">
        <f t="shared" si="1"/>
        <v>1.2224386443319051</v>
      </c>
      <c r="V26">
        <f t="shared" si="2"/>
        <v>0.6523197358413565</v>
      </c>
      <c r="W26">
        <f t="shared" si="2"/>
        <v>1.3441668057951659E-2</v>
      </c>
      <c r="X26">
        <f t="shared" si="2"/>
        <v>0.61790120021518535</v>
      </c>
      <c r="Y26">
        <f t="shared" si="2"/>
        <v>1.1642272803161E-2</v>
      </c>
      <c r="Z26">
        <f t="shared" si="3"/>
        <v>7.9365079365079358</v>
      </c>
      <c r="AA26">
        <f t="shared" si="3"/>
        <v>63.492063492063487</v>
      </c>
      <c r="AB26">
        <f t="shared" si="4"/>
        <v>79.365079365079353</v>
      </c>
      <c r="AC26">
        <f t="shared" si="5"/>
        <v>2.8147499689032615E-3</v>
      </c>
      <c r="AE26">
        <f t="shared" si="6"/>
        <v>9.706034375528489E-3</v>
      </c>
      <c r="AG26">
        <f t="shared" si="7"/>
        <v>6.1540731315388982E-3</v>
      </c>
      <c r="AH26">
        <f t="shared" si="8"/>
        <v>5.0723687087323448</v>
      </c>
      <c r="AI26">
        <f t="shared" si="9"/>
        <v>0.125</v>
      </c>
      <c r="AJ26">
        <f t="shared" si="10"/>
        <v>0.28196138286486294</v>
      </c>
      <c r="AK26">
        <f t="shared" si="11"/>
        <v>2.1893814997263273E-2</v>
      </c>
      <c r="AM26">
        <f t="shared" si="12"/>
        <v>8.9397619047619031E-2</v>
      </c>
      <c r="AN26">
        <f t="shared" si="13"/>
        <v>0.31705625124723225</v>
      </c>
      <c r="AO26">
        <f t="shared" si="14"/>
        <v>3.8923232201513898E-2</v>
      </c>
      <c r="AP26">
        <f t="shared" si="15"/>
        <v>0.11537513403610075</v>
      </c>
      <c r="AQ26">
        <f t="shared" si="16"/>
        <v>2.545746118779766E-2</v>
      </c>
      <c r="AR26">
        <f t="shared" si="17"/>
        <v>3.6569262126261687E-2</v>
      </c>
      <c r="AS26">
        <f t="shared" si="18"/>
        <v>2.4643318965517243E-2</v>
      </c>
    </row>
    <row r="27" spans="2:45" x14ac:dyDescent="0.2">
      <c r="B27">
        <v>7.92</v>
      </c>
      <c r="C27">
        <v>2.6433999999999999E-2</v>
      </c>
      <c r="D27">
        <v>3.3364000000000002E-3</v>
      </c>
      <c r="E27">
        <v>20.99</v>
      </c>
      <c r="F27">
        <v>0.86511000000000005</v>
      </c>
      <c r="K27" s="7">
        <v>5</v>
      </c>
      <c r="L27" s="7">
        <v>50</v>
      </c>
      <c r="M27">
        <v>14.990600000000001</v>
      </c>
      <c r="N27">
        <v>0.38769999999999999</v>
      </c>
      <c r="O27">
        <v>13.813599999999999</v>
      </c>
      <c r="P27">
        <v>0.3886</v>
      </c>
      <c r="Q27">
        <f>250/(250/500)</f>
        <v>500</v>
      </c>
      <c r="R27">
        <f t="shared" si="1"/>
        <v>58.397350993377486</v>
      </c>
      <c r="S27">
        <f t="shared" si="1"/>
        <v>1.5103233346318661</v>
      </c>
      <c r="T27">
        <f t="shared" si="1"/>
        <v>53.812232177639267</v>
      </c>
      <c r="U27">
        <f t="shared" si="1"/>
        <v>1.5138293728087262</v>
      </c>
      <c r="V27">
        <f t="shared" si="2"/>
        <v>0.55616524755597607</v>
      </c>
      <c r="W27">
        <f t="shared" si="2"/>
        <v>1.4384031758398724E-2</v>
      </c>
      <c r="X27">
        <f t="shared" si="2"/>
        <v>0.51249744931085017</v>
      </c>
      <c r="Y27">
        <f t="shared" si="2"/>
        <v>1.4417422598178345E-2</v>
      </c>
      <c r="Z27">
        <f t="shared" si="3"/>
        <v>7.9365079365079358</v>
      </c>
      <c r="AA27">
        <f t="shared" si="3"/>
        <v>79.365079365079353</v>
      </c>
      <c r="AB27">
        <f t="shared" si="4"/>
        <v>79.365079365079353</v>
      </c>
      <c r="AC27">
        <f t="shared" si="5"/>
        <v>2.8147499689032615E-3</v>
      </c>
      <c r="AE27">
        <f t="shared" si="6"/>
        <v>9.706034375528489E-3</v>
      </c>
      <c r="AG27">
        <f t="shared" si="7"/>
        <v>6.1540731315388982E-3</v>
      </c>
      <c r="AH27">
        <f t="shared" si="8"/>
        <v>6.3404608859154301</v>
      </c>
      <c r="AI27">
        <f t="shared" si="9"/>
        <v>0.1</v>
      </c>
      <c r="AJ27">
        <f t="shared" si="10"/>
        <v>0.28196138286486294</v>
      </c>
      <c r="AK27">
        <f t="shared" si="11"/>
        <v>2.736726874657909E-2</v>
      </c>
      <c r="AM27">
        <f t="shared" si="12"/>
        <v>8.9397619047619031E-2</v>
      </c>
      <c r="AN27">
        <f t="shared" si="13"/>
        <v>0.31705625124723225</v>
      </c>
      <c r="AO27">
        <f t="shared" si="14"/>
        <v>2.9979485951523201E-2</v>
      </c>
      <c r="AP27">
        <f t="shared" si="15"/>
        <v>8.8864336653312601E-2</v>
      </c>
      <c r="AQ27">
        <f t="shared" si="16"/>
        <v>1.9477045316206514E-2</v>
      </c>
      <c r="AR27">
        <f t="shared" si="17"/>
        <v>2.7978484199941995E-2</v>
      </c>
      <c r="AS27">
        <f t="shared" si="18"/>
        <v>1.5771724137931039E-2</v>
      </c>
    </row>
    <row r="28" spans="2:45" x14ac:dyDescent="0.2">
      <c r="B28">
        <v>6.3</v>
      </c>
      <c r="C28">
        <v>2.1555999999999999E-2</v>
      </c>
      <c r="D28">
        <v>3.421E-3</v>
      </c>
      <c r="E28">
        <v>20.99</v>
      </c>
      <c r="F28">
        <v>0.70548999999999995</v>
      </c>
      <c r="K28">
        <v>5</v>
      </c>
      <c r="L28">
        <v>60</v>
      </c>
      <c r="M28">
        <v>24.506</v>
      </c>
      <c r="N28">
        <v>0.80710000000000004</v>
      </c>
      <c r="O28">
        <v>23.4512</v>
      </c>
      <c r="P28">
        <v>0.81740000000000002</v>
      </c>
      <c r="Q28">
        <f>71/(250/1000)</f>
        <v>284</v>
      </c>
      <c r="R28">
        <f t="shared" si="1"/>
        <v>95.465523957927545</v>
      </c>
      <c r="S28">
        <f t="shared" si="1"/>
        <v>3.1441371250486951</v>
      </c>
      <c r="T28">
        <f t="shared" si="1"/>
        <v>91.35644721464746</v>
      </c>
      <c r="U28">
        <f t="shared" si="1"/>
        <v>3.1842617841838723</v>
      </c>
      <c r="V28">
        <f t="shared" si="2"/>
        <v>0.90919546626597658</v>
      </c>
      <c r="W28">
        <f t="shared" si="2"/>
        <v>2.9944163095701859E-2</v>
      </c>
      <c r="X28">
        <f t="shared" si="2"/>
        <v>0.87006140204426152</v>
      </c>
      <c r="Y28">
        <f t="shared" si="2"/>
        <v>3.032630270651307E-2</v>
      </c>
      <c r="Z28">
        <f t="shared" si="3"/>
        <v>7.9365079365079358</v>
      </c>
      <c r="AA28">
        <f t="shared" si="3"/>
        <v>95.238095238095227</v>
      </c>
      <c r="AB28">
        <f t="shared" si="4"/>
        <v>79.365079365079353</v>
      </c>
      <c r="AC28">
        <f t="shared" si="5"/>
        <v>2.8147499689032615E-3</v>
      </c>
      <c r="AE28">
        <f t="shared" si="6"/>
        <v>9.706034375528489E-3</v>
      </c>
      <c r="AG28">
        <f t="shared" si="7"/>
        <v>6.1540731315388982E-3</v>
      </c>
      <c r="AH28">
        <f t="shared" si="8"/>
        <v>7.6085530630985172</v>
      </c>
      <c r="AI28">
        <f t="shared" si="9"/>
        <v>8.3333333333333329E-2</v>
      </c>
      <c r="AJ28">
        <f t="shared" si="10"/>
        <v>0.28196138286486294</v>
      </c>
      <c r="AK28">
        <f t="shared" si="11"/>
        <v>3.2840722495894911E-2</v>
      </c>
      <c r="AM28">
        <f t="shared" si="12"/>
        <v>8.9397619047619031E-2</v>
      </c>
      <c r="AN28">
        <f t="shared" si="13"/>
        <v>0.31705625124723225</v>
      </c>
      <c r="AO28">
        <f t="shared" si="14"/>
        <v>2.4220445326902498E-2</v>
      </c>
      <c r="AP28">
        <f t="shared" si="15"/>
        <v>7.1793552794845686E-2</v>
      </c>
      <c r="AQ28">
        <f t="shared" si="16"/>
        <v>1.564968424500484E-2</v>
      </c>
      <c r="AR28">
        <f t="shared" si="17"/>
        <v>2.2480537282450006E-2</v>
      </c>
      <c r="AS28">
        <f t="shared" si="18"/>
        <v>1.0952586206896552E-2</v>
      </c>
    </row>
    <row r="29" spans="2:45" x14ac:dyDescent="0.2">
      <c r="B29">
        <v>4.9800000000000004</v>
      </c>
      <c r="C29">
        <v>1.7765E-2</v>
      </c>
      <c r="D29">
        <v>3.5647000000000001E-3</v>
      </c>
      <c r="E29">
        <v>20.99</v>
      </c>
      <c r="F29">
        <v>0.58140000000000003</v>
      </c>
      <c r="K29" s="7">
        <v>5</v>
      </c>
      <c r="L29" s="7">
        <v>70</v>
      </c>
      <c r="M29">
        <v>24.188199999999998</v>
      </c>
      <c r="N29">
        <v>0.53820000000000001</v>
      </c>
      <c r="O29">
        <v>22.249400000000001</v>
      </c>
      <c r="P29">
        <v>0.84670000000000001</v>
      </c>
      <c r="Q29" s="7">
        <f>115/(250/1000)</f>
        <v>460</v>
      </c>
      <c r="R29">
        <f t="shared" si="1"/>
        <v>94.227502921698473</v>
      </c>
      <c r="S29">
        <f t="shared" si="1"/>
        <v>2.0966108297623687</v>
      </c>
      <c r="T29">
        <f t="shared" si="1"/>
        <v>86.674717569146878</v>
      </c>
      <c r="U29">
        <f t="shared" si="1"/>
        <v>3.2984028048305416</v>
      </c>
      <c r="V29">
        <f t="shared" si="2"/>
        <v>0.89740478973046167</v>
      </c>
      <c r="W29">
        <f t="shared" si="2"/>
        <v>1.9967722188213036E-2</v>
      </c>
      <c r="X29">
        <f t="shared" si="2"/>
        <v>0.82547350065854175</v>
      </c>
      <c r="Y29">
        <f t="shared" si="2"/>
        <v>3.1413360046005159E-2</v>
      </c>
      <c r="Z29">
        <f t="shared" si="3"/>
        <v>7.9365079365079358</v>
      </c>
      <c r="AA29">
        <f t="shared" si="3"/>
        <v>111.1111111111111</v>
      </c>
      <c r="AB29">
        <f t="shared" si="4"/>
        <v>79.365079365079353</v>
      </c>
      <c r="AC29">
        <f t="shared" si="5"/>
        <v>2.8147499689032615E-3</v>
      </c>
      <c r="AE29">
        <f t="shared" si="6"/>
        <v>9.706034375528489E-3</v>
      </c>
      <c r="AG29">
        <f t="shared" si="7"/>
        <v>6.1540731315388982E-3</v>
      </c>
      <c r="AH29">
        <f t="shared" si="8"/>
        <v>8.8766452402816043</v>
      </c>
      <c r="AI29">
        <f t="shared" si="9"/>
        <v>7.1428571428571425E-2</v>
      </c>
      <c r="AJ29">
        <f t="shared" si="10"/>
        <v>0.28196138286486294</v>
      </c>
      <c r="AK29">
        <f t="shared" si="11"/>
        <v>3.8314176245210725E-2</v>
      </c>
      <c r="AM29">
        <f t="shared" si="12"/>
        <v>8.9397619047619031E-2</v>
      </c>
      <c r="AN29">
        <f t="shared" si="13"/>
        <v>0.31705625124723225</v>
      </c>
      <c r="AO29">
        <f t="shared" si="14"/>
        <v>2.0223409697075142E-2</v>
      </c>
      <c r="AP29">
        <f t="shared" si="15"/>
        <v>5.9945653854930177E-2</v>
      </c>
      <c r="AQ29">
        <f t="shared" si="16"/>
        <v>1.3006769139118525E-2</v>
      </c>
      <c r="AR29">
        <f t="shared" si="17"/>
        <v>1.8684029273594062E-2</v>
      </c>
      <c r="AS29">
        <f t="shared" si="18"/>
        <v>8.0467980295566496E-3</v>
      </c>
    </row>
    <row r="30" spans="2:45" x14ac:dyDescent="0.2">
      <c r="B30">
        <v>3.97</v>
      </c>
      <c r="C30">
        <v>1.4142E-2</v>
      </c>
      <c r="D30">
        <v>3.5579000000000001E-3</v>
      </c>
      <c r="E30">
        <v>20.99</v>
      </c>
      <c r="F30">
        <v>0.46282000000000001</v>
      </c>
      <c r="K30">
        <v>5</v>
      </c>
      <c r="L30">
        <v>80</v>
      </c>
      <c r="M30">
        <v>23.5183</v>
      </c>
      <c r="N30">
        <v>1.4576</v>
      </c>
      <c r="O30">
        <v>21.1617</v>
      </c>
      <c r="P30">
        <v>1.7822</v>
      </c>
      <c r="Q30">
        <f>144/(250/1000)</f>
        <v>576</v>
      </c>
      <c r="R30">
        <f t="shared" si="1"/>
        <v>91.617841838722256</v>
      </c>
      <c r="S30">
        <f t="shared" si="1"/>
        <v>5.6782236073237247</v>
      </c>
      <c r="T30">
        <f t="shared" si="1"/>
        <v>82.43747565251266</v>
      </c>
      <c r="U30">
        <f t="shared" si="1"/>
        <v>6.9427347097779517</v>
      </c>
      <c r="V30">
        <f t="shared" si="2"/>
        <v>0.87255087465449765</v>
      </c>
      <c r="W30">
        <f t="shared" si="2"/>
        <v>5.4078320069749761E-2</v>
      </c>
      <c r="X30">
        <f t="shared" si="2"/>
        <v>0.78511881573821585</v>
      </c>
      <c r="Y30">
        <f t="shared" si="2"/>
        <v>6.6121282950266203E-2</v>
      </c>
      <c r="Z30">
        <f t="shared" si="3"/>
        <v>7.9365079365079358</v>
      </c>
      <c r="AA30">
        <f t="shared" si="3"/>
        <v>126.98412698412697</v>
      </c>
      <c r="AB30">
        <f t="shared" si="4"/>
        <v>79.365079365079353</v>
      </c>
      <c r="AC30">
        <f t="shared" si="5"/>
        <v>2.8147499689032615E-3</v>
      </c>
      <c r="AE30">
        <f t="shared" si="6"/>
        <v>9.706034375528489E-3</v>
      </c>
      <c r="AG30">
        <f t="shared" si="7"/>
        <v>6.1540731315388982E-3</v>
      </c>
      <c r="AH30">
        <f t="shared" si="8"/>
        <v>10.14473741746469</v>
      </c>
      <c r="AI30">
        <f t="shared" si="9"/>
        <v>6.25E-2</v>
      </c>
      <c r="AJ30">
        <f t="shared" si="10"/>
        <v>0.28196138286486294</v>
      </c>
      <c r="AK30">
        <f t="shared" si="11"/>
        <v>4.3787629994526546E-2</v>
      </c>
      <c r="AM30">
        <f t="shared" si="12"/>
        <v>8.9397619047619031E-2</v>
      </c>
      <c r="AN30">
        <f t="shared" si="13"/>
        <v>0.31705625124723225</v>
      </c>
      <c r="AO30">
        <f t="shared" si="14"/>
        <v>1.7298315034831296E-2</v>
      </c>
      <c r="AP30">
        <f t="shared" si="15"/>
        <v>5.1275171738300089E-2</v>
      </c>
      <c r="AQ30">
        <f t="shared" si="16"/>
        <v>1.1081003588563239E-2</v>
      </c>
      <c r="AR30">
        <f t="shared" si="17"/>
        <v>1.591769587167037E-2</v>
      </c>
      <c r="AS30">
        <f t="shared" si="18"/>
        <v>6.1608297413793109E-3</v>
      </c>
    </row>
    <row r="31" spans="2:45" x14ac:dyDescent="0.2">
      <c r="B31">
        <v>3.16</v>
      </c>
      <c r="C31">
        <v>1.1812E-2</v>
      </c>
      <c r="D31">
        <v>3.7420000000000001E-3</v>
      </c>
      <c r="E31">
        <v>20.99</v>
      </c>
      <c r="F31">
        <v>0.38657999999999998</v>
      </c>
      <c r="K31">
        <v>5</v>
      </c>
      <c r="L31">
        <v>90</v>
      </c>
      <c r="M31">
        <v>10.6005</v>
      </c>
      <c r="N31">
        <v>0.44590000000000002</v>
      </c>
      <c r="O31">
        <v>8.2985000000000007</v>
      </c>
      <c r="P31">
        <v>1.028</v>
      </c>
      <c r="Q31" s="7"/>
      <c r="R31">
        <f t="shared" si="1"/>
        <v>41.295286326451112</v>
      </c>
      <c r="S31">
        <f t="shared" si="1"/>
        <v>1.7370471367354892</v>
      </c>
      <c r="T31">
        <f t="shared" si="1"/>
        <v>32.327619789637716</v>
      </c>
      <c r="U31">
        <f t="shared" si="1"/>
        <v>4.0046747175691468</v>
      </c>
      <c r="V31">
        <f t="shared" si="2"/>
        <v>0.39328844120429629</v>
      </c>
      <c r="W31">
        <f t="shared" si="2"/>
        <v>1.6543306064147514E-2</v>
      </c>
      <c r="X31">
        <f t="shared" si="2"/>
        <v>0.30788209323464488</v>
      </c>
      <c r="Y31">
        <f t="shared" si="2"/>
        <v>3.8139759214944252E-2</v>
      </c>
      <c r="Z31">
        <f t="shared" si="3"/>
        <v>7.9365079365079358</v>
      </c>
      <c r="AA31">
        <f t="shared" si="3"/>
        <v>142.85714285714283</v>
      </c>
      <c r="AB31">
        <f t="shared" si="4"/>
        <v>79.365079365079353</v>
      </c>
      <c r="AC31">
        <f t="shared" si="5"/>
        <v>2.8147499689032615E-3</v>
      </c>
      <c r="AE31">
        <f t="shared" si="6"/>
        <v>9.706034375528489E-3</v>
      </c>
      <c r="AG31">
        <f t="shared" si="7"/>
        <v>6.1540731315388982E-3</v>
      </c>
      <c r="AH31">
        <f t="shared" si="8"/>
        <v>11.412829594647773</v>
      </c>
      <c r="AI31">
        <f t="shared" si="9"/>
        <v>5.5555555555555552E-2</v>
      </c>
      <c r="AJ31">
        <f t="shared" si="10"/>
        <v>0.28196138286486294</v>
      </c>
      <c r="AK31">
        <f t="shared" si="11"/>
        <v>4.926108374384236E-2</v>
      </c>
      <c r="AM31">
        <f t="shared" si="12"/>
        <v>8.9397619047619031E-2</v>
      </c>
      <c r="AN31">
        <f t="shared" si="13"/>
        <v>0.31705625124723225</v>
      </c>
      <c r="AO31">
        <f t="shared" si="14"/>
        <v>1.5071460889896403E-2</v>
      </c>
      <c r="AP31">
        <f t="shared" si="15"/>
        <v>4.4674394235533585E-2</v>
      </c>
      <c r="AQ31">
        <f t="shared" si="16"/>
        <v>9.6204651030065997E-3</v>
      </c>
      <c r="AR31">
        <f t="shared" si="17"/>
        <v>1.3819654188338063E-2</v>
      </c>
      <c r="AS31">
        <f t="shared" si="18"/>
        <v>4.8678160919540239E-3</v>
      </c>
    </row>
    <row r="32" spans="2:45" x14ac:dyDescent="0.2">
      <c r="B32">
        <v>2.5099999999999998</v>
      </c>
      <c r="C32">
        <v>1.0794E-2</v>
      </c>
      <c r="D32">
        <v>4.2991000000000001E-3</v>
      </c>
      <c r="E32">
        <v>21</v>
      </c>
      <c r="F32">
        <v>0.35326999999999997</v>
      </c>
      <c r="K32">
        <v>5</v>
      </c>
      <c r="L32">
        <v>100</v>
      </c>
      <c r="M32">
        <v>29.285900000000002</v>
      </c>
      <c r="N32">
        <v>1.1766000000000001</v>
      </c>
      <c r="O32">
        <v>28.456700000000001</v>
      </c>
      <c r="P32">
        <v>1.1606000000000001</v>
      </c>
      <c r="Q32">
        <f>42/(250/2000)</f>
        <v>336</v>
      </c>
      <c r="R32">
        <f t="shared" si="1"/>
        <v>114.0860927152318</v>
      </c>
      <c r="S32">
        <f t="shared" si="1"/>
        <v>4.5835605765485008</v>
      </c>
      <c r="T32">
        <f t="shared" si="1"/>
        <v>110.85586287495131</v>
      </c>
      <c r="U32">
        <f t="shared" si="1"/>
        <v>4.5212310089598757</v>
      </c>
      <c r="V32">
        <f t="shared" si="2"/>
        <v>1.0865342163355409</v>
      </c>
      <c r="W32">
        <f t="shared" si="2"/>
        <v>4.3652957871890483E-2</v>
      </c>
      <c r="X32">
        <f t="shared" si="2"/>
        <v>1.0557701226185838</v>
      </c>
      <c r="Y32">
        <f t="shared" si="2"/>
        <v>4.3059342942475008E-2</v>
      </c>
      <c r="Z32">
        <f t="shared" si="3"/>
        <v>7.9365079365079358</v>
      </c>
      <c r="AA32">
        <f t="shared" si="3"/>
        <v>158.73015873015871</v>
      </c>
      <c r="AB32">
        <f t="shared" si="4"/>
        <v>79.365079365079353</v>
      </c>
      <c r="AC32">
        <f t="shared" si="5"/>
        <v>2.8147499689032615E-3</v>
      </c>
      <c r="AE32">
        <f t="shared" si="6"/>
        <v>9.706034375528489E-3</v>
      </c>
      <c r="AG32">
        <f t="shared" si="7"/>
        <v>6.1540731315388982E-3</v>
      </c>
      <c r="AH32">
        <f t="shared" si="8"/>
        <v>12.68092177183086</v>
      </c>
      <c r="AI32">
        <f t="shared" si="9"/>
        <v>0.05</v>
      </c>
      <c r="AJ32">
        <f t="shared" si="10"/>
        <v>0.28196138286486294</v>
      </c>
      <c r="AK32">
        <f t="shared" si="11"/>
        <v>5.4734537493158181E-2</v>
      </c>
      <c r="AM32">
        <f t="shared" si="12"/>
        <v>8.9397619047619031E-2</v>
      </c>
      <c r="AN32">
        <f t="shared" si="13"/>
        <v>0.31705625124723225</v>
      </c>
      <c r="AO32">
        <f t="shared" si="14"/>
        <v>1.3323523336573705E-2</v>
      </c>
      <c r="AP32">
        <f t="shared" si="15"/>
        <v>3.9493207625509549E-2</v>
      </c>
      <c r="AQ32">
        <f t="shared" si="16"/>
        <v>8.4778763856838534E-3</v>
      </c>
      <c r="AR32">
        <f t="shared" si="17"/>
        <v>1.2178342590215606E-2</v>
      </c>
      <c r="AS32">
        <f t="shared" si="18"/>
        <v>3.9429310344827597E-3</v>
      </c>
    </row>
    <row r="33" spans="2:6" x14ac:dyDescent="0.2">
      <c r="B33">
        <v>1.99</v>
      </c>
      <c r="C33">
        <v>6.6403E-3</v>
      </c>
      <c r="D33">
        <v>3.3364000000000002E-3</v>
      </c>
      <c r="E33">
        <v>21</v>
      </c>
      <c r="F33">
        <v>0.21732000000000001</v>
      </c>
    </row>
    <row r="34" spans="2:6" x14ac:dyDescent="0.2">
      <c r="B34">
        <v>1.58</v>
      </c>
      <c r="C34">
        <v>6.2110999999999998E-3</v>
      </c>
      <c r="D34">
        <v>3.9214000000000002E-3</v>
      </c>
      <c r="E34">
        <v>21</v>
      </c>
      <c r="F34">
        <v>0.20327999999999999</v>
      </c>
    </row>
    <row r="35" spans="2:6" x14ac:dyDescent="0.2">
      <c r="B35">
        <v>1.26</v>
      </c>
      <c r="C35">
        <v>6.1139999999999996E-3</v>
      </c>
      <c r="D35">
        <v>4.8576000000000001E-3</v>
      </c>
      <c r="E35">
        <v>21.01</v>
      </c>
      <c r="F35">
        <v>0.2001</v>
      </c>
    </row>
    <row r="36" spans="2:6" x14ac:dyDescent="0.2">
      <c r="B36">
        <v>1</v>
      </c>
      <c r="C36">
        <v>5.0577E-3</v>
      </c>
      <c r="D36">
        <v>5.0582999999999999E-3</v>
      </c>
      <c r="E36">
        <v>21.03</v>
      </c>
      <c r="F36">
        <v>0.16553000000000001</v>
      </c>
    </row>
    <row r="37" spans="2:6" x14ac:dyDescent="0.2">
      <c r="B37" s="3"/>
      <c r="D37" s="3"/>
      <c r="E37" s="3"/>
    </row>
    <row r="38" spans="2:6" x14ac:dyDescent="0.2">
      <c r="B38" s="3" t="s">
        <v>62</v>
      </c>
      <c r="D38">
        <v>3.63</v>
      </c>
    </row>
  </sheetData>
  <mergeCells count="1">
    <mergeCell ref="B2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ACF4B-B0CF-E74A-A8C4-995D957440AE}">
  <dimension ref="B2:AS38"/>
  <sheetViews>
    <sheetView topLeftCell="U1" workbookViewId="0">
      <selection activeCell="AS4" sqref="AS4:AS36"/>
    </sheetView>
  </sheetViews>
  <sheetFormatPr baseColWidth="10" defaultRowHeight="16" x14ac:dyDescent="0.2"/>
  <cols>
    <col min="2" max="2" width="26.33203125" customWidth="1"/>
    <col min="9" max="9" width="16.5" bestFit="1" customWidth="1"/>
    <col min="16" max="16" width="11.6640625" bestFit="1" customWidth="1"/>
    <col min="17" max="17" width="13.1640625" bestFit="1" customWidth="1"/>
    <col min="25" max="25" width="11.1640625" bestFit="1" customWidth="1"/>
    <col min="28" max="28" width="16.33203125" customWidth="1"/>
    <col min="31" max="31" width="19.33203125" customWidth="1"/>
    <col min="32" max="32" width="23" bestFit="1" customWidth="1"/>
    <col min="41" max="41" width="23.1640625" bestFit="1" customWidth="1"/>
    <col min="42" max="42" width="33.33203125" bestFit="1" customWidth="1"/>
    <col min="43" max="43" width="16" bestFit="1" customWidth="1"/>
    <col min="44" max="44" width="21.6640625" bestFit="1" customWidth="1"/>
  </cols>
  <sheetData>
    <row r="2" spans="2:45" x14ac:dyDescent="0.2">
      <c r="B2" s="8" t="s">
        <v>12</v>
      </c>
      <c r="C2" s="8"/>
      <c r="D2" s="8"/>
      <c r="E2" s="8"/>
      <c r="F2" s="8"/>
      <c r="G2" s="8"/>
    </row>
    <row r="3" spans="2:45" x14ac:dyDescent="0.2"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I3" t="s">
        <v>19</v>
      </c>
      <c r="J3" t="s">
        <v>13</v>
      </c>
      <c r="K3" t="s">
        <v>14</v>
      </c>
      <c r="L3" t="s">
        <v>15</v>
      </c>
      <c r="M3" t="s">
        <v>16</v>
      </c>
      <c r="N3" t="s">
        <v>20</v>
      </c>
      <c r="O3" t="s">
        <v>17</v>
      </c>
      <c r="P3" t="s">
        <v>21</v>
      </c>
      <c r="Q3" t="s">
        <v>27</v>
      </c>
      <c r="R3" t="s">
        <v>18</v>
      </c>
      <c r="S3" t="s">
        <v>22</v>
      </c>
      <c r="T3" t="s">
        <v>23</v>
      </c>
      <c r="U3" t="s">
        <v>24</v>
      </c>
      <c r="V3" s="4" t="s">
        <v>25</v>
      </c>
      <c r="W3" s="4" t="s">
        <v>26</v>
      </c>
      <c r="X3" s="4" t="s">
        <v>38</v>
      </c>
      <c r="Y3" s="4" t="s">
        <v>39</v>
      </c>
      <c r="Z3" t="s">
        <v>32</v>
      </c>
      <c r="AA3" t="s">
        <v>33</v>
      </c>
      <c r="AB3" t="s">
        <v>31</v>
      </c>
      <c r="AC3" t="s">
        <v>29</v>
      </c>
      <c r="AD3" t="s">
        <v>30</v>
      </c>
      <c r="AE3" s="4" t="s">
        <v>34</v>
      </c>
      <c r="AF3" t="s">
        <v>35</v>
      </c>
      <c r="AG3" s="4" t="s">
        <v>37</v>
      </c>
      <c r="AH3" s="4" t="s">
        <v>36</v>
      </c>
      <c r="AI3" s="4" t="s">
        <v>40</v>
      </c>
      <c r="AJ3" s="4" t="s">
        <v>41</v>
      </c>
      <c r="AK3" s="4" t="s">
        <v>42</v>
      </c>
      <c r="AL3" t="s">
        <v>45</v>
      </c>
      <c r="AM3" s="4" t="s">
        <v>43</v>
      </c>
      <c r="AN3" s="4" t="s">
        <v>44</v>
      </c>
      <c r="AO3" s="4" t="s">
        <v>57</v>
      </c>
      <c r="AP3" s="4" t="s">
        <v>58</v>
      </c>
      <c r="AQ3" s="4" t="s">
        <v>59</v>
      </c>
      <c r="AR3" s="4" t="s">
        <v>60</v>
      </c>
      <c r="AS3" s="4" t="s">
        <v>61</v>
      </c>
    </row>
    <row r="4" spans="2:45" x14ac:dyDescent="0.2">
      <c r="I4">
        <v>100</v>
      </c>
      <c r="J4">
        <v>105</v>
      </c>
      <c r="K4">
        <v>10</v>
      </c>
      <c r="L4">
        <v>100</v>
      </c>
      <c r="M4">
        <v>26.464200000000002</v>
      </c>
      <c r="N4">
        <v>0.94169999999999998</v>
      </c>
      <c r="O4">
        <v>24.892700000000001</v>
      </c>
      <c r="P4">
        <v>1.1185</v>
      </c>
      <c r="Q4">
        <f>69/(250/2000)</f>
        <v>552</v>
      </c>
      <c r="R4">
        <f>M4/0.2567</f>
        <v>103.09388391118038</v>
      </c>
      <c r="S4">
        <f t="shared" ref="S4:U4" si="0">N4/0.2567</f>
        <v>3.6684846123880015</v>
      </c>
      <c r="T4">
        <f t="shared" si="0"/>
        <v>96.97195169458513</v>
      </c>
      <c r="U4">
        <f t="shared" si="0"/>
        <v>4.3572263342423065</v>
      </c>
      <c r="V4">
        <f>R4/$J$4</f>
        <v>0.98184651343981322</v>
      </c>
      <c r="W4">
        <f>S4/$J$4</f>
        <v>3.493794868940954E-2</v>
      </c>
      <c r="X4">
        <f>T4/$J$4</f>
        <v>0.92354239709128694</v>
      </c>
      <c r="Y4">
        <f>U4/$J$4</f>
        <v>4.1497393659450536E-2</v>
      </c>
      <c r="Z4">
        <f>K4/($I$4/1000*$J$4/1000)/60</f>
        <v>15.873015873015872</v>
      </c>
      <c r="AA4">
        <f>L4/($I$4/1000*$J$4/1000)/60</f>
        <v>158.73015873015871</v>
      </c>
      <c r="AB4">
        <f>Z4/($I$4/1000)</f>
        <v>158.73015873015871</v>
      </c>
      <c r="AC4">
        <f>0.0067/(1+0.0019*AB4^0.57)</f>
        <v>6.4788793115986929E-3</v>
      </c>
      <c r="AD4">
        <v>0.28999999999999998</v>
      </c>
      <c r="AE4">
        <f>AC4/$AD$4</f>
        <v>2.2340963143443769E-2</v>
      </c>
      <c r="AF4">
        <v>3.63</v>
      </c>
      <c r="AG4">
        <f>AC4*(Z4/1000)/($AF$4/1000)</f>
        <v>2.8330400592936695E-2</v>
      </c>
      <c r="AH4">
        <f>$AD$4*(AA4/1000)/($AF$4/1000)</f>
        <v>12.68092177183086</v>
      </c>
      <c r="AI4">
        <f>K4/L4</f>
        <v>0.1</v>
      </c>
      <c r="AJ4">
        <f>1000*(Z4/1000)*($I$4/10^6)/AC4</f>
        <v>0.24499631972769584</v>
      </c>
      <c r="AK4">
        <f>1000*(AA4/1000)*($I$4/10^6)/$AD$4</f>
        <v>5.4734537493158181E-2</v>
      </c>
      <c r="AL4">
        <v>1.9E-3</v>
      </c>
      <c r="AM4">
        <f>$AL$4*AB4</f>
        <v>0.30158730158730152</v>
      </c>
      <c r="AN4">
        <f>AM4/AJ4</f>
        <v>1.2309870692037514</v>
      </c>
      <c r="AO4">
        <f>AH4^(-0.6)*AI4^0.57*AM4^0.45</f>
        <v>3.4185771002646158E-2</v>
      </c>
      <c r="AP4">
        <f>AH4^(-0.6)*AI4^0.57</f>
        <v>5.8628597599815827E-2</v>
      </c>
      <c r="AQ4">
        <f>(AI4*AM4/AH4)^0.6</f>
        <v>2.6653689666868569E-2</v>
      </c>
      <c r="AR4">
        <f>(AI4/AH4)^(0.6)*AM4^(0.45)</f>
        <v>3.190401781428058E-2</v>
      </c>
      <c r="AS4">
        <f>AI4/AH4</f>
        <v>7.8858620689655195E-3</v>
      </c>
    </row>
    <row r="5" spans="2:45" x14ac:dyDescent="0.2">
      <c r="B5" t="s">
        <v>6</v>
      </c>
      <c r="C5" t="s">
        <v>7</v>
      </c>
      <c r="D5" t="s">
        <v>8</v>
      </c>
      <c r="E5" t="s">
        <v>9</v>
      </c>
      <c r="F5" t="s">
        <v>10</v>
      </c>
      <c r="K5">
        <v>10</v>
      </c>
      <c r="L5">
        <v>10</v>
      </c>
      <c r="M5">
        <v>113.09829999999999</v>
      </c>
      <c r="N5">
        <v>3.5763639999999999</v>
      </c>
      <c r="O5">
        <v>73.992000000000004</v>
      </c>
      <c r="P5">
        <v>1.6430549999999999</v>
      </c>
      <c r="Q5">
        <f>22/(250/250)</f>
        <v>22</v>
      </c>
      <c r="R5">
        <f t="shared" ref="R5:R36" si="1">M5/0.2567</f>
        <v>440.58550837553565</v>
      </c>
      <c r="S5">
        <f t="shared" ref="S5:S36" si="2">N5/0.2567</f>
        <v>13.932076353720296</v>
      </c>
      <c r="T5">
        <f t="shared" ref="T5:T36" si="3">O5/0.2567</f>
        <v>288.24308531359566</v>
      </c>
      <c r="U5">
        <f t="shared" ref="U5:U36" si="4">P5/0.2567</f>
        <v>6.400681729645501</v>
      </c>
      <c r="V5">
        <f t="shared" ref="V5:Y36" si="5">R5/$J$4</f>
        <v>4.196052460719387</v>
      </c>
      <c r="W5">
        <f t="shared" si="5"/>
        <v>0.13268644146400282</v>
      </c>
      <c r="X5">
        <f t="shared" si="5"/>
        <v>2.7451722410818635</v>
      </c>
      <c r="Y5">
        <f t="shared" si="5"/>
        <v>6.0958873615671441E-2</v>
      </c>
      <c r="Z5">
        <f t="shared" ref="Z5:Z36" si="6">K5/($I$4/1000*$J$4/1000)/60</f>
        <v>15.873015873015872</v>
      </c>
      <c r="AA5">
        <f t="shared" ref="AA5:AA36" si="7">L5/($I$4/1000*$J$4/1000)/60</f>
        <v>15.873015873015872</v>
      </c>
      <c r="AB5">
        <f t="shared" ref="AB5:AB36" si="8">Z5/($I$4/1000)</f>
        <v>158.73015873015871</v>
      </c>
      <c r="AC5">
        <f t="shared" ref="AC5:AC36" si="9">0.0067/(1+0.0019*AB5^0.57)</f>
        <v>6.4788793115986929E-3</v>
      </c>
      <c r="AE5">
        <f t="shared" ref="AE5:AE36" si="10">AC5/$AD$4</f>
        <v>2.2340963143443769E-2</v>
      </c>
      <c r="AG5">
        <f t="shared" ref="AG5:AG36" si="11">AC5*(Z5/1000)/($AF$4/1000)</f>
        <v>2.8330400592936695E-2</v>
      </c>
      <c r="AH5">
        <f t="shared" ref="AH5:AH36" si="12">$AD$4*(AA5/1000)/($AF$4/1000)</f>
        <v>1.2680921771830862</v>
      </c>
      <c r="AI5">
        <f t="shared" ref="AI5:AI36" si="13">K5/L5</f>
        <v>1</v>
      </c>
      <c r="AJ5">
        <f t="shared" ref="AJ5:AJ36" si="14">1000*(Z5/1000)*($I$4/10^6)/AC5</f>
        <v>0.24499631972769584</v>
      </c>
      <c r="AK5">
        <f t="shared" ref="AK5:AK36" si="15">1000*(AA5/1000)*($I$4/10^6)/$AD$4</f>
        <v>5.4734537493158182E-3</v>
      </c>
      <c r="AM5">
        <f t="shared" ref="AM5:AM36" si="16">$AL$4*AB5</f>
        <v>0.30158730158730152</v>
      </c>
      <c r="AN5">
        <f t="shared" ref="AN5:AN36" si="17">AM5/AJ5</f>
        <v>1.2309870692037514</v>
      </c>
      <c r="AO5">
        <f t="shared" ref="AO5:AO36" si="18">AH5^(-0.6)*AI5^0.57*AM5^0.45</f>
        <v>0.50564460646011367</v>
      </c>
      <c r="AP5">
        <f t="shared" ref="AP5:AP36" si="19">AH5^(-0.6)*AI5^0.57</f>
        <v>0.86718050496425969</v>
      </c>
      <c r="AQ5">
        <f t="shared" ref="AQ5:AQ36" si="20">(AI5*AM5/AH5)^0.6</f>
        <v>0.4224325130699112</v>
      </c>
      <c r="AR5">
        <f t="shared" ref="AR5:AR36" si="21">(AI5/AH5)^(0.6)*AM5^(0.45)</f>
        <v>0.50564460646011367</v>
      </c>
      <c r="AS5">
        <f t="shared" ref="AS5:AS36" si="22">AI5/AH5</f>
        <v>0.78858620689655179</v>
      </c>
    </row>
    <row r="6" spans="2:45" x14ac:dyDescent="0.2">
      <c r="B6" s="5">
        <v>1000</v>
      </c>
      <c r="C6">
        <v>2.8481999999999998</v>
      </c>
      <c r="D6">
        <v>2.8467000000000002E-3</v>
      </c>
      <c r="E6">
        <v>20.91</v>
      </c>
      <c r="F6">
        <v>93.213999999999999</v>
      </c>
      <c r="G6" t="s">
        <v>11</v>
      </c>
      <c r="K6">
        <v>10</v>
      </c>
      <c r="L6">
        <v>20</v>
      </c>
      <c r="M6">
        <v>81.707755000000006</v>
      </c>
      <c r="N6">
        <v>4.9547470000000002</v>
      </c>
      <c r="O6">
        <v>68.293379999999999</v>
      </c>
      <c r="P6">
        <v>2.3202539999999998</v>
      </c>
      <c r="Q6">
        <f>20/(250/500)</f>
        <v>40</v>
      </c>
      <c r="R6">
        <f t="shared" si="1"/>
        <v>318.30056486170633</v>
      </c>
      <c r="S6">
        <f t="shared" si="2"/>
        <v>19.301702376314765</v>
      </c>
      <c r="T6">
        <f t="shared" si="3"/>
        <v>266.04355278535257</v>
      </c>
      <c r="U6">
        <f t="shared" si="4"/>
        <v>9.0387767822360736</v>
      </c>
      <c r="V6">
        <f t="shared" si="5"/>
        <v>3.0314339510638697</v>
      </c>
      <c r="W6">
        <f t="shared" si="5"/>
        <v>0.18382573691728346</v>
      </c>
      <c r="X6">
        <f t="shared" si="5"/>
        <v>2.5337481217652624</v>
      </c>
      <c r="Y6">
        <f t="shared" si="5"/>
        <v>8.6083588402248321E-2</v>
      </c>
      <c r="Z6">
        <f t="shared" si="6"/>
        <v>15.873015873015872</v>
      </c>
      <c r="AA6">
        <f t="shared" si="7"/>
        <v>31.746031746031743</v>
      </c>
      <c r="AB6">
        <f t="shared" si="8"/>
        <v>158.73015873015871</v>
      </c>
      <c r="AC6">
        <f t="shared" si="9"/>
        <v>6.4788793115986929E-3</v>
      </c>
      <c r="AE6">
        <f t="shared" si="10"/>
        <v>2.2340963143443769E-2</v>
      </c>
      <c r="AG6">
        <f t="shared" si="11"/>
        <v>2.8330400592936695E-2</v>
      </c>
      <c r="AH6">
        <f t="shared" si="12"/>
        <v>2.5361843543661724</v>
      </c>
      <c r="AI6">
        <f t="shared" si="13"/>
        <v>0.5</v>
      </c>
      <c r="AJ6">
        <f t="shared" si="14"/>
        <v>0.24499631972769584</v>
      </c>
      <c r="AK6">
        <f t="shared" si="15"/>
        <v>1.0946907498631636E-2</v>
      </c>
      <c r="AM6">
        <f t="shared" si="16"/>
        <v>0.30158730158730152</v>
      </c>
      <c r="AN6">
        <f t="shared" si="17"/>
        <v>1.2309870692037514</v>
      </c>
      <c r="AO6">
        <f t="shared" si="18"/>
        <v>0.22471925386171135</v>
      </c>
      <c r="AP6">
        <f t="shared" si="19"/>
        <v>0.38539352254390641</v>
      </c>
      <c r="AQ6">
        <f t="shared" si="20"/>
        <v>0.18387443110380428</v>
      </c>
      <c r="AR6">
        <f t="shared" si="21"/>
        <v>0.2200945984907495</v>
      </c>
      <c r="AS6">
        <f t="shared" si="22"/>
        <v>0.19714655172413795</v>
      </c>
    </row>
    <row r="7" spans="2:45" x14ac:dyDescent="0.2">
      <c r="B7">
        <v>790</v>
      </c>
      <c r="C7">
        <v>2.3944000000000001</v>
      </c>
      <c r="D7">
        <v>3.0306E-3</v>
      </c>
      <c r="E7">
        <v>20.91</v>
      </c>
      <c r="F7">
        <v>78.363</v>
      </c>
      <c r="G7" t="s">
        <v>11</v>
      </c>
      <c r="K7">
        <v>10</v>
      </c>
      <c r="L7">
        <v>30</v>
      </c>
      <c r="M7">
        <v>58.241250000000001</v>
      </c>
      <c r="N7">
        <v>2.905554</v>
      </c>
      <c r="O7">
        <v>52.69988</v>
      </c>
      <c r="P7">
        <v>2.1828280000000002</v>
      </c>
      <c r="Q7">
        <f>39/(250/500)</f>
        <v>78</v>
      </c>
      <c r="R7">
        <f t="shared" si="1"/>
        <v>226.88449552006236</v>
      </c>
      <c r="S7">
        <f t="shared" si="2"/>
        <v>11.318870276587457</v>
      </c>
      <c r="T7">
        <f t="shared" si="3"/>
        <v>205.2975457732762</v>
      </c>
      <c r="U7">
        <f t="shared" si="4"/>
        <v>8.5034203350214277</v>
      </c>
      <c r="V7">
        <f t="shared" si="5"/>
        <v>2.1608047192386892</v>
      </c>
      <c r="W7">
        <f t="shared" si="5"/>
        <v>0.10779876453892817</v>
      </c>
      <c r="X7">
        <f t="shared" si="5"/>
        <v>1.9552147216502496</v>
      </c>
      <c r="Y7">
        <f t="shared" si="5"/>
        <v>8.0984955571632641E-2</v>
      </c>
      <c r="Z7">
        <f t="shared" si="6"/>
        <v>15.873015873015872</v>
      </c>
      <c r="AA7">
        <f t="shared" si="7"/>
        <v>47.619047619047613</v>
      </c>
      <c r="AB7">
        <f t="shared" si="8"/>
        <v>158.73015873015871</v>
      </c>
      <c r="AC7">
        <f t="shared" si="9"/>
        <v>6.4788793115986929E-3</v>
      </c>
      <c r="AE7">
        <f t="shared" si="10"/>
        <v>2.2340963143443769E-2</v>
      </c>
      <c r="AG7">
        <f t="shared" si="11"/>
        <v>2.8330400592936695E-2</v>
      </c>
      <c r="AH7">
        <f t="shared" si="12"/>
        <v>3.8042765315492586</v>
      </c>
      <c r="AI7">
        <f t="shared" si="13"/>
        <v>0.33333333333333331</v>
      </c>
      <c r="AJ7">
        <f t="shared" si="14"/>
        <v>0.24499631972769584</v>
      </c>
      <c r="AK7">
        <f t="shared" si="15"/>
        <v>1.6420361247947456E-2</v>
      </c>
      <c r="AM7">
        <f t="shared" si="16"/>
        <v>0.30158730158730152</v>
      </c>
      <c r="AN7">
        <f t="shared" si="17"/>
        <v>1.2309870692037514</v>
      </c>
      <c r="AO7">
        <f t="shared" si="18"/>
        <v>0.13983423508822082</v>
      </c>
      <c r="AP7">
        <f t="shared" si="19"/>
        <v>0.23981571452727382</v>
      </c>
      <c r="AQ7">
        <f t="shared" si="20"/>
        <v>0.1130347117600132</v>
      </c>
      <c r="AR7">
        <f t="shared" si="21"/>
        <v>0.1353006470284763</v>
      </c>
      <c r="AS7">
        <f t="shared" si="22"/>
        <v>8.7620689655172418E-2</v>
      </c>
    </row>
    <row r="8" spans="2:45" x14ac:dyDescent="0.2">
      <c r="B8">
        <v>628</v>
      </c>
      <c r="C8">
        <v>2.0152000000000001</v>
      </c>
      <c r="D8">
        <v>3.2106999999999999E-3</v>
      </c>
      <c r="E8">
        <v>20.91</v>
      </c>
      <c r="F8">
        <v>65.953000000000003</v>
      </c>
      <c r="G8" t="s">
        <v>11</v>
      </c>
      <c r="K8">
        <v>10</v>
      </c>
      <c r="L8">
        <v>40</v>
      </c>
      <c r="M8">
        <v>50.199300000000001</v>
      </c>
      <c r="N8">
        <v>1.6673</v>
      </c>
      <c r="O8">
        <v>46.624899999999997</v>
      </c>
      <c r="P8">
        <v>2.1576</v>
      </c>
      <c r="Q8">
        <f>58/(250/500)</f>
        <v>116</v>
      </c>
      <c r="R8">
        <f t="shared" si="1"/>
        <v>195.55629139072849</v>
      </c>
      <c r="S8">
        <f t="shared" si="2"/>
        <v>6.4951305025321391</v>
      </c>
      <c r="T8">
        <f t="shared" si="3"/>
        <v>181.63186599142969</v>
      </c>
      <c r="U8">
        <f t="shared" si="4"/>
        <v>8.4051421893260621</v>
      </c>
      <c r="V8">
        <f t="shared" si="5"/>
        <v>1.8624408703878903</v>
      </c>
      <c r="W8">
        <f t="shared" si="5"/>
        <v>6.1858385738401328E-2</v>
      </c>
      <c r="X8">
        <f t="shared" si="5"/>
        <v>1.7298272951564733</v>
      </c>
      <c r="Y8">
        <f t="shared" si="5"/>
        <v>8.0048973231676784E-2</v>
      </c>
      <c r="Z8">
        <f t="shared" si="6"/>
        <v>15.873015873015872</v>
      </c>
      <c r="AA8">
        <f t="shared" si="7"/>
        <v>63.492063492063487</v>
      </c>
      <c r="AB8">
        <f t="shared" si="8"/>
        <v>158.73015873015871</v>
      </c>
      <c r="AC8">
        <f t="shared" si="9"/>
        <v>6.4788793115986929E-3</v>
      </c>
      <c r="AE8">
        <f t="shared" si="10"/>
        <v>2.2340963143443769E-2</v>
      </c>
      <c r="AG8">
        <f t="shared" si="11"/>
        <v>2.8330400592936695E-2</v>
      </c>
      <c r="AH8">
        <f t="shared" si="12"/>
        <v>5.0723687087323448</v>
      </c>
      <c r="AI8">
        <f t="shared" si="13"/>
        <v>0.25</v>
      </c>
      <c r="AJ8">
        <f t="shared" si="14"/>
        <v>0.24499631972769584</v>
      </c>
      <c r="AK8">
        <f t="shared" si="15"/>
        <v>2.1893814997263273E-2</v>
      </c>
      <c r="AM8">
        <f t="shared" si="16"/>
        <v>0.30158730158730152</v>
      </c>
      <c r="AN8">
        <f t="shared" si="17"/>
        <v>1.2309870692037514</v>
      </c>
      <c r="AO8">
        <f t="shared" si="18"/>
        <v>9.9870032056097333E-2</v>
      </c>
      <c r="AP8">
        <f t="shared" si="19"/>
        <v>0.1712771059410774</v>
      </c>
      <c r="AQ8">
        <f t="shared" si="20"/>
        <v>8.0035994786585574E-2</v>
      </c>
      <c r="AR8">
        <f t="shared" si="21"/>
        <v>9.5801738347278134E-2</v>
      </c>
      <c r="AS8">
        <f t="shared" si="22"/>
        <v>4.9286637931034487E-2</v>
      </c>
    </row>
    <row r="9" spans="2:45" x14ac:dyDescent="0.2">
      <c r="B9">
        <v>499</v>
      </c>
      <c r="C9">
        <v>1.6934</v>
      </c>
      <c r="D9">
        <v>3.3965000000000002E-3</v>
      </c>
      <c r="E9">
        <v>20.91</v>
      </c>
      <c r="F9">
        <v>55.42</v>
      </c>
      <c r="G9" t="s">
        <v>11</v>
      </c>
      <c r="K9">
        <v>10</v>
      </c>
      <c r="L9">
        <v>50</v>
      </c>
      <c r="M9">
        <v>39.281700000000001</v>
      </c>
      <c r="N9">
        <v>0.68389999999999995</v>
      </c>
      <c r="O9">
        <v>34.366599999999998</v>
      </c>
      <c r="P9">
        <v>4.3296000000000001</v>
      </c>
      <c r="Q9">
        <f>92/(250/500)</f>
        <v>184</v>
      </c>
      <c r="R9">
        <f t="shared" si="1"/>
        <v>153.02571094663031</v>
      </c>
      <c r="S9">
        <f t="shared" si="2"/>
        <v>2.6641994546162837</v>
      </c>
      <c r="T9">
        <f t="shared" si="3"/>
        <v>133.87845734320217</v>
      </c>
      <c r="U9">
        <f t="shared" si="4"/>
        <v>16.866380989481886</v>
      </c>
      <c r="V9">
        <f t="shared" si="5"/>
        <v>1.4573877233012411</v>
      </c>
      <c r="W9">
        <f t="shared" si="5"/>
        <v>2.5373328139202702E-2</v>
      </c>
      <c r="X9">
        <f t="shared" si="5"/>
        <v>1.275032927078116</v>
      </c>
      <c r="Y9">
        <f t="shared" si="5"/>
        <v>0.16063219989982749</v>
      </c>
      <c r="Z9">
        <f t="shared" si="6"/>
        <v>15.873015873015872</v>
      </c>
      <c r="AA9">
        <f t="shared" si="7"/>
        <v>79.365079365079353</v>
      </c>
      <c r="AB9">
        <f t="shared" si="8"/>
        <v>158.73015873015871</v>
      </c>
      <c r="AC9">
        <f t="shared" si="9"/>
        <v>6.4788793115986929E-3</v>
      </c>
      <c r="AE9">
        <f t="shared" si="10"/>
        <v>2.2340963143443769E-2</v>
      </c>
      <c r="AG9">
        <f t="shared" si="11"/>
        <v>2.8330400592936695E-2</v>
      </c>
      <c r="AH9">
        <f t="shared" si="12"/>
        <v>6.3404608859154301</v>
      </c>
      <c r="AI9">
        <f t="shared" si="13"/>
        <v>0.2</v>
      </c>
      <c r="AJ9">
        <f t="shared" si="14"/>
        <v>0.24499631972769584</v>
      </c>
      <c r="AK9">
        <f t="shared" si="15"/>
        <v>2.736726874657909E-2</v>
      </c>
      <c r="AM9">
        <f t="shared" si="16"/>
        <v>0.30158730158730152</v>
      </c>
      <c r="AN9">
        <f t="shared" si="17"/>
        <v>1.2309870692037514</v>
      </c>
      <c r="AO9">
        <f t="shared" si="18"/>
        <v>7.692198344431142E-2</v>
      </c>
      <c r="AP9">
        <f t="shared" si="19"/>
        <v>0.13192120235015747</v>
      </c>
      <c r="AQ9">
        <f t="shared" si="20"/>
        <v>6.1234098949866797E-2</v>
      </c>
      <c r="AR9">
        <f t="shared" si="21"/>
        <v>7.3296185562120406E-2</v>
      </c>
      <c r="AS9">
        <f t="shared" si="22"/>
        <v>3.1543448275862078E-2</v>
      </c>
    </row>
    <row r="10" spans="2:45" x14ac:dyDescent="0.2">
      <c r="B10">
        <v>396</v>
      </c>
      <c r="C10">
        <v>1.4238999999999999</v>
      </c>
      <c r="D10">
        <v>3.5955000000000002E-3</v>
      </c>
      <c r="E10">
        <v>20.91</v>
      </c>
      <c r="F10">
        <v>46.6</v>
      </c>
      <c r="G10" t="s">
        <v>11</v>
      </c>
      <c r="K10">
        <v>10</v>
      </c>
      <c r="L10">
        <v>60</v>
      </c>
      <c r="M10">
        <v>34.995699999999999</v>
      </c>
      <c r="N10">
        <v>1.4246000000000001</v>
      </c>
      <c r="O10">
        <v>33.165799999999997</v>
      </c>
      <c r="P10">
        <v>1.6178999999999999</v>
      </c>
      <c r="Q10">
        <f>61/(250/1000)</f>
        <v>244</v>
      </c>
      <c r="R10">
        <f t="shared" si="1"/>
        <v>136.32917802882744</v>
      </c>
      <c r="S10">
        <f t="shared" si="2"/>
        <v>5.5496688741721858</v>
      </c>
      <c r="T10">
        <f t="shared" si="3"/>
        <v>129.20062329567588</v>
      </c>
      <c r="U10">
        <f t="shared" si="4"/>
        <v>6.3026879626022598</v>
      </c>
      <c r="V10">
        <f t="shared" si="5"/>
        <v>1.2983731240840708</v>
      </c>
      <c r="W10">
        <f t="shared" si="5"/>
        <v>5.2853989277830339E-2</v>
      </c>
      <c r="X10">
        <f t="shared" si="5"/>
        <v>1.2304821266254846</v>
      </c>
      <c r="Y10">
        <f t="shared" si="5"/>
        <v>6.0025599643831043E-2</v>
      </c>
      <c r="Z10">
        <f t="shared" si="6"/>
        <v>15.873015873015872</v>
      </c>
      <c r="AA10">
        <f t="shared" si="7"/>
        <v>95.238095238095227</v>
      </c>
      <c r="AB10">
        <f t="shared" si="8"/>
        <v>158.73015873015871</v>
      </c>
      <c r="AC10">
        <f t="shared" si="9"/>
        <v>6.4788793115986929E-3</v>
      </c>
      <c r="AE10">
        <f t="shared" si="10"/>
        <v>2.2340963143443769E-2</v>
      </c>
      <c r="AG10">
        <f t="shared" si="11"/>
        <v>2.8330400592936695E-2</v>
      </c>
      <c r="AH10">
        <f t="shared" si="12"/>
        <v>7.6085530630985172</v>
      </c>
      <c r="AI10">
        <f t="shared" si="13"/>
        <v>0.16666666666666666</v>
      </c>
      <c r="AJ10">
        <f t="shared" si="14"/>
        <v>0.24499631972769584</v>
      </c>
      <c r="AK10">
        <f t="shared" si="15"/>
        <v>3.2840722495894911E-2</v>
      </c>
      <c r="AM10">
        <f t="shared" si="16"/>
        <v>0.30158730158730152</v>
      </c>
      <c r="AN10">
        <f t="shared" si="17"/>
        <v>1.2309870692037514</v>
      </c>
      <c r="AO10">
        <f t="shared" si="18"/>
        <v>6.2145318217345369E-2</v>
      </c>
      <c r="AP10">
        <f t="shared" si="19"/>
        <v>0.10657922134314947</v>
      </c>
      <c r="AQ10">
        <f t="shared" si="20"/>
        <v>4.9201215997347274E-2</v>
      </c>
      <c r="AR10">
        <f t="shared" si="21"/>
        <v>5.8893027242485067E-2</v>
      </c>
      <c r="AS10">
        <f t="shared" si="22"/>
        <v>2.1905172413793104E-2</v>
      </c>
    </row>
    <row r="11" spans="2:45" x14ac:dyDescent="0.2">
      <c r="B11">
        <v>315</v>
      </c>
      <c r="C11">
        <v>1.1942999999999999</v>
      </c>
      <c r="D11">
        <v>3.7969000000000002E-3</v>
      </c>
      <c r="E11">
        <v>20.91</v>
      </c>
      <c r="F11">
        <v>39.088000000000001</v>
      </c>
      <c r="G11" t="s">
        <v>11</v>
      </c>
      <c r="K11">
        <v>10</v>
      </c>
      <c r="L11">
        <v>70</v>
      </c>
      <c r="M11">
        <v>36.058999999999997</v>
      </c>
      <c r="N11">
        <v>1.2152000000000001</v>
      </c>
      <c r="O11">
        <v>29.7075</v>
      </c>
      <c r="P11">
        <v>5.5833000000000004</v>
      </c>
      <c r="Q11">
        <f>76/(250/1000)</f>
        <v>304</v>
      </c>
      <c r="R11">
        <f t="shared" si="1"/>
        <v>140.47136735488897</v>
      </c>
      <c r="S11">
        <f t="shared" si="2"/>
        <v>4.7339306583560585</v>
      </c>
      <c r="T11">
        <f t="shared" si="3"/>
        <v>115.72847682119206</v>
      </c>
      <c r="U11">
        <f t="shared" si="4"/>
        <v>21.750292169848073</v>
      </c>
      <c r="V11">
        <f t="shared" si="5"/>
        <v>1.3378225462370379</v>
      </c>
      <c r="W11">
        <f t="shared" si="5"/>
        <v>4.5085053889105317E-2</v>
      </c>
      <c r="X11">
        <f t="shared" si="5"/>
        <v>1.1021759697256386</v>
      </c>
      <c r="Y11">
        <f t="shared" si="5"/>
        <v>0.20714563971283878</v>
      </c>
      <c r="Z11">
        <f t="shared" si="6"/>
        <v>15.873015873015872</v>
      </c>
      <c r="AA11">
        <f t="shared" si="7"/>
        <v>111.1111111111111</v>
      </c>
      <c r="AB11">
        <f t="shared" si="8"/>
        <v>158.73015873015871</v>
      </c>
      <c r="AC11">
        <f t="shared" si="9"/>
        <v>6.4788793115986929E-3</v>
      </c>
      <c r="AE11">
        <f t="shared" si="10"/>
        <v>2.2340963143443769E-2</v>
      </c>
      <c r="AG11">
        <f t="shared" si="11"/>
        <v>2.8330400592936695E-2</v>
      </c>
      <c r="AH11">
        <f t="shared" si="12"/>
        <v>8.8766452402816043</v>
      </c>
      <c r="AI11">
        <f t="shared" si="13"/>
        <v>0.14285714285714285</v>
      </c>
      <c r="AJ11">
        <f t="shared" si="14"/>
        <v>0.24499631972769584</v>
      </c>
      <c r="AK11">
        <f t="shared" si="15"/>
        <v>3.8314176245210725E-2</v>
      </c>
      <c r="AM11">
        <f t="shared" si="16"/>
        <v>0.30158730158730152</v>
      </c>
      <c r="AN11">
        <f t="shared" si="17"/>
        <v>1.2309870692037514</v>
      </c>
      <c r="AO11">
        <f t="shared" si="18"/>
        <v>5.1889641751075556E-2</v>
      </c>
      <c r="AP11">
        <f t="shared" si="19"/>
        <v>8.8990736104413964E-2</v>
      </c>
      <c r="AQ11">
        <f t="shared" si="20"/>
        <v>4.0892125861623309E-2</v>
      </c>
      <c r="AR11">
        <f t="shared" si="21"/>
        <v>4.8947186234209197E-2</v>
      </c>
      <c r="AS11">
        <f t="shared" si="22"/>
        <v>1.6093596059113299E-2</v>
      </c>
    </row>
    <row r="12" spans="2:45" x14ac:dyDescent="0.2">
      <c r="B12">
        <v>250</v>
      </c>
      <c r="C12">
        <v>0.99963000000000002</v>
      </c>
      <c r="D12">
        <v>4.0007000000000003E-3</v>
      </c>
      <c r="E12">
        <v>20.9</v>
      </c>
      <c r="F12">
        <v>32.716000000000001</v>
      </c>
      <c r="G12" t="s">
        <v>11</v>
      </c>
      <c r="K12">
        <v>10</v>
      </c>
      <c r="L12">
        <v>80</v>
      </c>
      <c r="M12">
        <v>27.994399999999999</v>
      </c>
      <c r="N12">
        <v>1.3383</v>
      </c>
      <c r="O12">
        <v>22.348700000000001</v>
      </c>
      <c r="P12">
        <v>4.7023000000000001</v>
      </c>
      <c r="Q12">
        <f>50/(250/2000)</f>
        <v>400</v>
      </c>
      <c r="R12">
        <f t="shared" si="1"/>
        <v>109.05492793143748</v>
      </c>
      <c r="S12">
        <f t="shared" si="2"/>
        <v>5.2134787689910409</v>
      </c>
      <c r="T12">
        <f t="shared" si="3"/>
        <v>87.061550447993781</v>
      </c>
      <c r="U12">
        <f t="shared" si="4"/>
        <v>18.318270354499418</v>
      </c>
      <c r="V12">
        <f t="shared" si="5"/>
        <v>1.0386183612517854</v>
      </c>
      <c r="W12">
        <f t="shared" si="5"/>
        <v>4.9652178752295627E-2</v>
      </c>
      <c r="X12">
        <f t="shared" si="5"/>
        <v>0.82915762331422649</v>
      </c>
      <c r="Y12">
        <f t="shared" si="5"/>
        <v>0.17445971766189922</v>
      </c>
      <c r="Z12">
        <f t="shared" si="6"/>
        <v>15.873015873015872</v>
      </c>
      <c r="AA12">
        <f t="shared" si="7"/>
        <v>126.98412698412697</v>
      </c>
      <c r="AB12">
        <f t="shared" si="8"/>
        <v>158.73015873015871</v>
      </c>
      <c r="AC12">
        <f t="shared" si="9"/>
        <v>6.4788793115986929E-3</v>
      </c>
      <c r="AE12">
        <f t="shared" si="10"/>
        <v>2.2340963143443769E-2</v>
      </c>
      <c r="AG12">
        <f t="shared" si="11"/>
        <v>2.8330400592936695E-2</v>
      </c>
      <c r="AH12">
        <f t="shared" si="12"/>
        <v>10.14473741746469</v>
      </c>
      <c r="AI12">
        <f t="shared" si="13"/>
        <v>0.125</v>
      </c>
      <c r="AJ12">
        <f t="shared" si="14"/>
        <v>0.24499631972769584</v>
      </c>
      <c r="AK12">
        <f t="shared" si="15"/>
        <v>4.3787629994526546E-2</v>
      </c>
      <c r="AM12">
        <f t="shared" si="16"/>
        <v>0.30158730158730152</v>
      </c>
      <c r="AN12">
        <f t="shared" si="17"/>
        <v>1.2309870692037514</v>
      </c>
      <c r="AO12">
        <f t="shared" si="18"/>
        <v>4.4384373530466439E-2</v>
      </c>
      <c r="AP12">
        <f t="shared" si="19"/>
        <v>7.6119201033558972E-2</v>
      </c>
      <c r="AQ12">
        <f t="shared" si="20"/>
        <v>3.4837690172713855E-2</v>
      </c>
      <c r="AR12">
        <f t="shared" si="21"/>
        <v>4.1700128641485451E-2</v>
      </c>
      <c r="AS12">
        <f t="shared" si="22"/>
        <v>1.2321659482758622E-2</v>
      </c>
    </row>
    <row r="13" spans="2:45" x14ac:dyDescent="0.2">
      <c r="B13">
        <v>198</v>
      </c>
      <c r="C13">
        <v>0.83482999999999996</v>
      </c>
      <c r="D13">
        <v>4.2062000000000002E-3</v>
      </c>
      <c r="E13">
        <v>20.9</v>
      </c>
      <c r="F13">
        <v>27.321999999999999</v>
      </c>
      <c r="G13" t="s">
        <v>11</v>
      </c>
      <c r="K13">
        <v>10</v>
      </c>
      <c r="L13">
        <v>90</v>
      </c>
      <c r="M13">
        <v>33.115499999999997</v>
      </c>
      <c r="N13">
        <v>2.1671</v>
      </c>
      <c r="O13">
        <v>26.570900000000002</v>
      </c>
      <c r="P13">
        <v>5.3209</v>
      </c>
      <c r="Q13">
        <f>50/(250/2000)</f>
        <v>400</v>
      </c>
      <c r="R13">
        <f t="shared" si="1"/>
        <v>129.00467471756915</v>
      </c>
      <c r="S13">
        <f t="shared" si="2"/>
        <v>8.4421503700818086</v>
      </c>
      <c r="T13">
        <f t="shared" si="3"/>
        <v>103.50954421503702</v>
      </c>
      <c r="U13">
        <f t="shared" si="4"/>
        <v>20.728087261394624</v>
      </c>
      <c r="V13">
        <f t="shared" si="5"/>
        <v>1.2286159496911346</v>
      </c>
      <c r="W13">
        <f t="shared" si="5"/>
        <v>8.0401432096017231E-2</v>
      </c>
      <c r="X13">
        <f t="shared" si="5"/>
        <v>0.98580518300035258</v>
      </c>
      <c r="Y13">
        <f t="shared" si="5"/>
        <v>0.19741035487042499</v>
      </c>
      <c r="Z13">
        <f t="shared" si="6"/>
        <v>15.873015873015872</v>
      </c>
      <c r="AA13">
        <f t="shared" si="7"/>
        <v>142.85714285714283</v>
      </c>
      <c r="AB13">
        <f t="shared" si="8"/>
        <v>158.73015873015871</v>
      </c>
      <c r="AC13">
        <f t="shared" si="9"/>
        <v>6.4788793115986929E-3</v>
      </c>
      <c r="AE13">
        <f t="shared" si="10"/>
        <v>2.2340963143443769E-2</v>
      </c>
      <c r="AG13">
        <f t="shared" si="11"/>
        <v>2.8330400592936695E-2</v>
      </c>
      <c r="AH13">
        <f t="shared" si="12"/>
        <v>11.412829594647773</v>
      </c>
      <c r="AI13">
        <f t="shared" si="13"/>
        <v>0.1111111111111111</v>
      </c>
      <c r="AJ13">
        <f t="shared" si="14"/>
        <v>0.24499631972769584</v>
      </c>
      <c r="AK13">
        <f t="shared" si="15"/>
        <v>4.926108374384236E-2</v>
      </c>
      <c r="AM13">
        <f t="shared" si="16"/>
        <v>0.30158730158730152</v>
      </c>
      <c r="AN13">
        <f t="shared" si="17"/>
        <v>1.2309870692037514</v>
      </c>
      <c r="AO13">
        <f t="shared" si="18"/>
        <v>3.8670665231846493E-2</v>
      </c>
      <c r="AP13">
        <f t="shared" si="19"/>
        <v>6.6320191246224139E-2</v>
      </c>
      <c r="AQ13">
        <f t="shared" si="20"/>
        <v>3.0245887017116835E-2</v>
      </c>
      <c r="AR13">
        <f t="shared" si="21"/>
        <v>3.6203817567602922E-2</v>
      </c>
      <c r="AS13">
        <f t="shared" si="22"/>
        <v>9.7356321839080478E-3</v>
      </c>
    </row>
    <row r="14" spans="2:45" x14ac:dyDescent="0.2">
      <c r="B14">
        <v>158</v>
      </c>
      <c r="C14">
        <v>0.69718999999999998</v>
      </c>
      <c r="D14">
        <v>4.4222999999999997E-3</v>
      </c>
      <c r="E14">
        <v>20.9</v>
      </c>
      <c r="F14">
        <v>22.818000000000001</v>
      </c>
      <c r="G14" t="s">
        <v>11</v>
      </c>
      <c r="K14">
        <v>20</v>
      </c>
      <c r="L14">
        <v>100</v>
      </c>
      <c r="M14">
        <v>41.174399999999999</v>
      </c>
      <c r="N14">
        <v>2.9944000000000002</v>
      </c>
      <c r="O14">
        <v>38.2562</v>
      </c>
      <c r="P14">
        <v>2.8176000000000001</v>
      </c>
      <c r="Q14">
        <f>45/(250/2000)</f>
        <v>360</v>
      </c>
      <c r="R14">
        <f t="shared" si="1"/>
        <v>160.39890923256721</v>
      </c>
      <c r="S14">
        <f t="shared" si="2"/>
        <v>11.664978574211142</v>
      </c>
      <c r="T14">
        <f t="shared" si="3"/>
        <v>149.0307752239969</v>
      </c>
      <c r="U14">
        <f t="shared" si="4"/>
        <v>10.976236852356838</v>
      </c>
      <c r="V14">
        <f t="shared" si="5"/>
        <v>1.5276086593577829</v>
      </c>
      <c r="W14">
        <f t="shared" si="5"/>
        <v>0.11109503404010612</v>
      </c>
      <c r="X14">
        <f t="shared" si="5"/>
        <v>1.4193407164190182</v>
      </c>
      <c r="Y14">
        <f t="shared" si="5"/>
        <v>0.10453558907006512</v>
      </c>
      <c r="Z14">
        <f t="shared" si="6"/>
        <v>31.746031746031743</v>
      </c>
      <c r="AA14">
        <f t="shared" si="7"/>
        <v>158.73015873015871</v>
      </c>
      <c r="AB14">
        <f t="shared" si="8"/>
        <v>317.46031746031741</v>
      </c>
      <c r="AC14">
        <f t="shared" si="9"/>
        <v>6.3769076232766146E-3</v>
      </c>
      <c r="AE14">
        <f t="shared" si="10"/>
        <v>2.1989336631988328E-2</v>
      </c>
      <c r="AG14">
        <f t="shared" si="11"/>
        <v>5.576901152893974E-2</v>
      </c>
      <c r="AH14">
        <f t="shared" si="12"/>
        <v>12.68092177183086</v>
      </c>
      <c r="AI14">
        <f t="shared" si="13"/>
        <v>0.2</v>
      </c>
      <c r="AJ14">
        <f t="shared" si="14"/>
        <v>0.4978280009914875</v>
      </c>
      <c r="AK14">
        <f t="shared" si="15"/>
        <v>5.4734537493158181E-2</v>
      </c>
      <c r="AM14">
        <f t="shared" si="16"/>
        <v>0.60317460317460303</v>
      </c>
      <c r="AN14">
        <f t="shared" si="17"/>
        <v>1.2116124484225566</v>
      </c>
      <c r="AO14">
        <f t="shared" si="18"/>
        <v>6.9325973164128335E-2</v>
      </c>
      <c r="AP14">
        <f t="shared" si="19"/>
        <v>8.7035535049852286E-2</v>
      </c>
      <c r="AQ14">
        <f t="shared" si="20"/>
        <v>6.1234098949866797E-2</v>
      </c>
      <c r="AR14">
        <f t="shared" si="21"/>
        <v>6.6058221145470289E-2</v>
      </c>
      <c r="AS14">
        <f t="shared" si="22"/>
        <v>1.5771724137931039E-2</v>
      </c>
    </row>
    <row r="15" spans="2:45" x14ac:dyDescent="0.2">
      <c r="B15">
        <v>125</v>
      </c>
      <c r="C15">
        <v>0.58123999999999998</v>
      </c>
      <c r="D15">
        <v>4.6414000000000004E-3</v>
      </c>
      <c r="E15">
        <v>20.9</v>
      </c>
      <c r="F15">
        <v>19.023</v>
      </c>
      <c r="G15" t="s">
        <v>11</v>
      </c>
      <c r="K15">
        <v>20</v>
      </c>
      <c r="L15">
        <v>20</v>
      </c>
      <c r="M15">
        <v>112.6794</v>
      </c>
      <c r="N15">
        <v>56.542909999999999</v>
      </c>
      <c r="O15">
        <v>66.584500000000006</v>
      </c>
      <c r="P15">
        <v>23.404330000000002</v>
      </c>
      <c r="Q15">
        <f>21/(250/2000)</f>
        <v>168</v>
      </c>
      <c r="R15">
        <f t="shared" si="1"/>
        <v>438.95364238410599</v>
      </c>
      <c r="S15">
        <f t="shared" si="2"/>
        <v>220.26844565640826</v>
      </c>
      <c r="T15">
        <f t="shared" si="3"/>
        <v>259.38644331904953</v>
      </c>
      <c r="U15">
        <f t="shared" si="4"/>
        <v>91.173860537592532</v>
      </c>
      <c r="V15">
        <f t="shared" si="5"/>
        <v>4.1805108798486286</v>
      </c>
      <c r="W15">
        <f t="shared" si="5"/>
        <v>2.0977947205372214</v>
      </c>
      <c r="X15">
        <f t="shared" si="5"/>
        <v>2.4703470792290432</v>
      </c>
      <c r="Y15">
        <f t="shared" si="5"/>
        <v>0.86832248131040501</v>
      </c>
      <c r="Z15">
        <f t="shared" si="6"/>
        <v>31.746031746031743</v>
      </c>
      <c r="AA15">
        <f t="shared" si="7"/>
        <v>31.746031746031743</v>
      </c>
      <c r="AB15">
        <f t="shared" si="8"/>
        <v>317.46031746031741</v>
      </c>
      <c r="AC15">
        <f t="shared" si="9"/>
        <v>6.3769076232766146E-3</v>
      </c>
      <c r="AE15">
        <f t="shared" si="10"/>
        <v>2.1989336631988328E-2</v>
      </c>
      <c r="AG15">
        <f t="shared" si="11"/>
        <v>5.576901152893974E-2</v>
      </c>
      <c r="AH15">
        <f t="shared" si="12"/>
        <v>2.5361843543661724</v>
      </c>
      <c r="AI15">
        <f t="shared" si="13"/>
        <v>1</v>
      </c>
      <c r="AJ15">
        <f t="shared" si="14"/>
        <v>0.4978280009914875</v>
      </c>
      <c r="AK15">
        <f t="shared" si="15"/>
        <v>1.0946907498631636E-2</v>
      </c>
      <c r="AM15">
        <f t="shared" si="16"/>
        <v>0.60317460317460303</v>
      </c>
      <c r="AN15">
        <f t="shared" si="17"/>
        <v>1.2116124484225566</v>
      </c>
      <c r="AO15">
        <f t="shared" si="18"/>
        <v>0.45571243548884877</v>
      </c>
      <c r="AP15">
        <f t="shared" si="19"/>
        <v>0.57212576818418692</v>
      </c>
      <c r="AQ15">
        <f t="shared" si="20"/>
        <v>0.4224325130699112</v>
      </c>
      <c r="AR15">
        <f t="shared" si="21"/>
        <v>0.45571243548884877</v>
      </c>
      <c r="AS15">
        <f t="shared" si="22"/>
        <v>0.39429310344827589</v>
      </c>
    </row>
    <row r="16" spans="2:45" x14ac:dyDescent="0.2">
      <c r="B16">
        <v>99.5</v>
      </c>
      <c r="C16">
        <v>0.48014000000000001</v>
      </c>
      <c r="D16">
        <v>4.8268E-3</v>
      </c>
      <c r="E16">
        <v>20.9</v>
      </c>
      <c r="F16">
        <v>15.714</v>
      </c>
      <c r="G16" t="s">
        <v>11</v>
      </c>
      <c r="K16">
        <v>20</v>
      </c>
      <c r="L16">
        <v>30</v>
      </c>
      <c r="M16">
        <v>93.556687999999994</v>
      </c>
      <c r="N16">
        <v>32.216929999999998</v>
      </c>
      <c r="O16">
        <v>64.524749999999997</v>
      </c>
      <c r="P16">
        <v>10.49339</v>
      </c>
      <c r="Q16">
        <f>31/(250/500)</f>
        <v>62</v>
      </c>
      <c r="R16">
        <f t="shared" si="1"/>
        <v>364.45924425399301</v>
      </c>
      <c r="S16">
        <f t="shared" si="2"/>
        <v>125.50420724581222</v>
      </c>
      <c r="T16">
        <f t="shared" si="3"/>
        <v>251.36248539150759</v>
      </c>
      <c r="U16">
        <f t="shared" si="4"/>
        <v>40.878028827425013</v>
      </c>
      <c r="V16">
        <f t="shared" si="5"/>
        <v>3.4710404214666002</v>
      </c>
      <c r="W16">
        <f t="shared" si="5"/>
        <v>1.1952781642458308</v>
      </c>
      <c r="X16">
        <f t="shared" si="5"/>
        <v>2.3939284323000725</v>
      </c>
      <c r="Y16">
        <f t="shared" si="5"/>
        <v>0.3893145602611906</v>
      </c>
      <c r="Z16">
        <f t="shared" si="6"/>
        <v>31.746031746031743</v>
      </c>
      <c r="AA16">
        <f t="shared" si="7"/>
        <v>47.619047619047613</v>
      </c>
      <c r="AB16">
        <f t="shared" si="8"/>
        <v>317.46031746031741</v>
      </c>
      <c r="AC16">
        <f t="shared" si="9"/>
        <v>6.3769076232766146E-3</v>
      </c>
      <c r="AE16">
        <f t="shared" si="10"/>
        <v>2.1989336631988328E-2</v>
      </c>
      <c r="AG16">
        <f t="shared" si="11"/>
        <v>5.576901152893974E-2</v>
      </c>
      <c r="AH16">
        <f t="shared" si="12"/>
        <v>3.8042765315492586</v>
      </c>
      <c r="AI16">
        <f t="shared" si="13"/>
        <v>0.66666666666666663</v>
      </c>
      <c r="AJ16">
        <f t="shared" si="14"/>
        <v>0.4978280009914875</v>
      </c>
      <c r="AK16">
        <f t="shared" si="15"/>
        <v>1.6420361247947456E-2</v>
      </c>
      <c r="AM16">
        <f t="shared" si="16"/>
        <v>0.60317460317460303</v>
      </c>
      <c r="AN16">
        <f t="shared" si="17"/>
        <v>1.2116124484225566</v>
      </c>
      <c r="AO16">
        <f t="shared" si="18"/>
        <v>0.28357249653377808</v>
      </c>
      <c r="AP16">
        <f t="shared" si="19"/>
        <v>0.35601208082298524</v>
      </c>
      <c r="AQ16">
        <f t="shared" si="20"/>
        <v>0.25968557491258232</v>
      </c>
      <c r="AR16">
        <f t="shared" si="21"/>
        <v>0.28014402808324934</v>
      </c>
      <c r="AS16">
        <f t="shared" si="22"/>
        <v>0.17524137931034484</v>
      </c>
    </row>
    <row r="17" spans="2:45" x14ac:dyDescent="0.2">
      <c r="B17">
        <v>79</v>
      </c>
      <c r="C17">
        <v>0.39628000000000002</v>
      </c>
      <c r="D17">
        <v>5.0152E-3</v>
      </c>
      <c r="E17">
        <v>20.9</v>
      </c>
      <c r="F17">
        <v>12.968999999999999</v>
      </c>
      <c r="G17" t="s">
        <v>11</v>
      </c>
      <c r="K17">
        <v>20</v>
      </c>
      <c r="L17">
        <v>40</v>
      </c>
      <c r="M17">
        <v>94.258899999999997</v>
      </c>
      <c r="N17">
        <v>8.6773000000000007</v>
      </c>
      <c r="O17">
        <v>67.540000000000006</v>
      </c>
      <c r="P17">
        <v>0.83699999999999997</v>
      </c>
      <c r="Q17">
        <f>47/(250/500)</f>
        <v>94</v>
      </c>
      <c r="R17">
        <f t="shared" si="1"/>
        <v>367.19477989871444</v>
      </c>
      <c r="S17">
        <f t="shared" si="2"/>
        <v>33.80327230229841</v>
      </c>
      <c r="T17">
        <f t="shared" si="3"/>
        <v>263.10868718348269</v>
      </c>
      <c r="U17">
        <f t="shared" si="4"/>
        <v>3.2606155044799379</v>
      </c>
      <c r="V17">
        <f t="shared" si="5"/>
        <v>3.4970931418925186</v>
      </c>
      <c r="W17">
        <f t="shared" si="5"/>
        <v>0.32193592668855631</v>
      </c>
      <c r="X17">
        <f t="shared" si="5"/>
        <v>2.505797020795073</v>
      </c>
      <c r="Y17">
        <f t="shared" si="5"/>
        <v>3.1053480995047029E-2</v>
      </c>
      <c r="Z17">
        <f t="shared" si="6"/>
        <v>31.746031746031743</v>
      </c>
      <c r="AA17">
        <f t="shared" si="7"/>
        <v>63.492063492063487</v>
      </c>
      <c r="AB17">
        <f t="shared" si="8"/>
        <v>317.46031746031741</v>
      </c>
      <c r="AC17">
        <f t="shared" si="9"/>
        <v>6.3769076232766146E-3</v>
      </c>
      <c r="AE17">
        <f t="shared" si="10"/>
        <v>2.1989336631988328E-2</v>
      </c>
      <c r="AG17">
        <f t="shared" si="11"/>
        <v>5.576901152893974E-2</v>
      </c>
      <c r="AH17">
        <f t="shared" si="12"/>
        <v>5.0723687087323448</v>
      </c>
      <c r="AI17">
        <f t="shared" si="13"/>
        <v>0.5</v>
      </c>
      <c r="AJ17">
        <f t="shared" si="14"/>
        <v>0.4978280009914875</v>
      </c>
      <c r="AK17">
        <f t="shared" si="15"/>
        <v>2.1893814997263273E-2</v>
      </c>
      <c r="AM17">
        <f t="shared" si="16"/>
        <v>0.60317460317460303</v>
      </c>
      <c r="AN17">
        <f t="shared" si="17"/>
        <v>1.2116124484225566</v>
      </c>
      <c r="AO17">
        <f t="shared" si="18"/>
        <v>0.20252833150042795</v>
      </c>
      <c r="AP17">
        <f t="shared" si="19"/>
        <v>0.25426490087865811</v>
      </c>
      <c r="AQ17">
        <f t="shared" si="20"/>
        <v>0.18387443110380428</v>
      </c>
      <c r="AR17">
        <f t="shared" si="21"/>
        <v>0.19836035870793295</v>
      </c>
      <c r="AS17">
        <f t="shared" si="22"/>
        <v>9.8573275862068974E-2</v>
      </c>
    </row>
    <row r="18" spans="2:45" x14ac:dyDescent="0.2">
      <c r="B18">
        <v>62.8</v>
      </c>
      <c r="C18">
        <v>0.32556000000000002</v>
      </c>
      <c r="D18">
        <v>5.1869999999999998E-3</v>
      </c>
      <c r="E18">
        <v>20.9</v>
      </c>
      <c r="F18">
        <v>10.654999999999999</v>
      </c>
      <c r="G18" t="s">
        <v>11</v>
      </c>
      <c r="K18">
        <v>20</v>
      </c>
      <c r="L18">
        <v>50</v>
      </c>
      <c r="M18">
        <v>70.322299999999998</v>
      </c>
      <c r="N18">
        <v>5.8067000000000002</v>
      </c>
      <c r="O18">
        <v>58.3384</v>
      </c>
      <c r="P18">
        <v>9.2470999999999997</v>
      </c>
      <c r="Q18">
        <f>32/(250/1000)</f>
        <v>128</v>
      </c>
      <c r="R18">
        <f t="shared" si="1"/>
        <v>273.94740942734711</v>
      </c>
      <c r="S18">
        <f t="shared" si="2"/>
        <v>22.620568757304248</v>
      </c>
      <c r="T18">
        <f t="shared" si="3"/>
        <v>227.26295286326453</v>
      </c>
      <c r="U18">
        <f t="shared" si="4"/>
        <v>36.022984028048306</v>
      </c>
      <c r="V18">
        <f t="shared" si="5"/>
        <v>2.6090229469271153</v>
      </c>
      <c r="W18">
        <f t="shared" si="5"/>
        <v>0.21543398816480236</v>
      </c>
      <c r="X18">
        <f t="shared" si="5"/>
        <v>2.1644090748882334</v>
      </c>
      <c r="Y18">
        <f t="shared" si="5"/>
        <v>0.34307603836236483</v>
      </c>
      <c r="Z18">
        <f t="shared" si="6"/>
        <v>31.746031746031743</v>
      </c>
      <c r="AA18">
        <f t="shared" si="7"/>
        <v>79.365079365079353</v>
      </c>
      <c r="AB18">
        <f t="shared" si="8"/>
        <v>317.46031746031741</v>
      </c>
      <c r="AC18">
        <f t="shared" si="9"/>
        <v>6.3769076232766146E-3</v>
      </c>
      <c r="AE18">
        <f t="shared" si="10"/>
        <v>2.1989336631988328E-2</v>
      </c>
      <c r="AG18">
        <f t="shared" si="11"/>
        <v>5.576901152893974E-2</v>
      </c>
      <c r="AH18">
        <f t="shared" si="12"/>
        <v>6.3404608859154301</v>
      </c>
      <c r="AI18">
        <f t="shared" si="13"/>
        <v>0.4</v>
      </c>
      <c r="AJ18">
        <f t="shared" si="14"/>
        <v>0.4978280009914875</v>
      </c>
      <c r="AK18">
        <f t="shared" si="15"/>
        <v>2.736726874657909E-2</v>
      </c>
      <c r="AM18">
        <f t="shared" si="16"/>
        <v>0.60317460317460303</v>
      </c>
      <c r="AN18">
        <f t="shared" si="17"/>
        <v>1.2116124484225566</v>
      </c>
      <c r="AO18">
        <f t="shared" si="18"/>
        <v>0.15599154863522249</v>
      </c>
      <c r="AP18">
        <f t="shared" si="19"/>
        <v>0.19584013435453307</v>
      </c>
      <c r="AQ18">
        <f t="shared" si="20"/>
        <v>0.14067901746687533</v>
      </c>
      <c r="AR18">
        <f t="shared" si="21"/>
        <v>0.15176193992766412</v>
      </c>
      <c r="AS18">
        <f t="shared" si="22"/>
        <v>6.3086896551724156E-2</v>
      </c>
    </row>
    <row r="19" spans="2:45" x14ac:dyDescent="0.2">
      <c r="B19">
        <v>49.9</v>
      </c>
      <c r="C19">
        <v>0.26673999999999998</v>
      </c>
      <c r="D19">
        <v>5.3502999999999997E-3</v>
      </c>
      <c r="E19">
        <v>20.9</v>
      </c>
      <c r="F19">
        <v>8.7299000000000007</v>
      </c>
      <c r="G19" t="s">
        <v>11</v>
      </c>
      <c r="K19">
        <v>20</v>
      </c>
      <c r="L19">
        <v>60</v>
      </c>
      <c r="M19">
        <v>58.846299999999999</v>
      </c>
      <c r="N19">
        <v>2.7118000000000002</v>
      </c>
      <c r="O19">
        <v>52.8718</v>
      </c>
      <c r="P19">
        <v>3.6469999999999998</v>
      </c>
      <c r="Q19">
        <f>41/(250/1000)</f>
        <v>164</v>
      </c>
      <c r="R19">
        <f t="shared" si="1"/>
        <v>229.24152707440592</v>
      </c>
      <c r="S19">
        <f t="shared" si="2"/>
        <v>10.564082586677056</v>
      </c>
      <c r="T19">
        <f t="shared" si="3"/>
        <v>205.96727697701598</v>
      </c>
      <c r="U19">
        <f t="shared" si="4"/>
        <v>14.207245812232177</v>
      </c>
      <c r="V19">
        <f t="shared" si="5"/>
        <v>2.1832526388038658</v>
      </c>
      <c r="W19">
        <f t="shared" si="5"/>
        <v>0.1006103103493053</v>
      </c>
      <c r="X19">
        <f t="shared" si="5"/>
        <v>1.9615931140668188</v>
      </c>
      <c r="Y19">
        <f t="shared" si="5"/>
        <v>0.13530710297363979</v>
      </c>
      <c r="Z19">
        <f t="shared" si="6"/>
        <v>31.746031746031743</v>
      </c>
      <c r="AA19">
        <f t="shared" si="7"/>
        <v>95.238095238095227</v>
      </c>
      <c r="AB19">
        <f t="shared" si="8"/>
        <v>317.46031746031741</v>
      </c>
      <c r="AC19">
        <f t="shared" si="9"/>
        <v>6.3769076232766146E-3</v>
      </c>
      <c r="AE19">
        <f t="shared" si="10"/>
        <v>2.1989336631988328E-2</v>
      </c>
      <c r="AG19">
        <f t="shared" si="11"/>
        <v>5.576901152893974E-2</v>
      </c>
      <c r="AH19">
        <f t="shared" si="12"/>
        <v>7.6085530630985172</v>
      </c>
      <c r="AI19">
        <f t="shared" si="13"/>
        <v>0.33333333333333331</v>
      </c>
      <c r="AJ19">
        <f t="shared" si="14"/>
        <v>0.4978280009914875</v>
      </c>
      <c r="AK19">
        <f t="shared" si="15"/>
        <v>3.2840722495894911E-2</v>
      </c>
      <c r="AM19">
        <f t="shared" si="16"/>
        <v>0.60317460317460303</v>
      </c>
      <c r="AN19">
        <f t="shared" si="17"/>
        <v>1.2116124484225566</v>
      </c>
      <c r="AO19">
        <f t="shared" si="18"/>
        <v>0.12602566906209067</v>
      </c>
      <c r="AP19">
        <f t="shared" si="19"/>
        <v>0.15821936622319599</v>
      </c>
      <c r="AQ19">
        <f t="shared" si="20"/>
        <v>0.1130347117600132</v>
      </c>
      <c r="AR19">
        <f t="shared" si="21"/>
        <v>0.12193977072595895</v>
      </c>
      <c r="AS19">
        <f t="shared" si="22"/>
        <v>4.3810344827586209E-2</v>
      </c>
    </row>
    <row r="20" spans="2:45" x14ac:dyDescent="0.2">
      <c r="B20">
        <v>39.6</v>
      </c>
      <c r="C20">
        <v>0.21833</v>
      </c>
      <c r="D20">
        <v>5.5132000000000002E-3</v>
      </c>
      <c r="E20">
        <v>20.89</v>
      </c>
      <c r="F20">
        <v>7.1456</v>
      </c>
      <c r="G20" t="s">
        <v>11</v>
      </c>
      <c r="K20">
        <v>20</v>
      </c>
      <c r="L20">
        <v>70</v>
      </c>
      <c r="M20">
        <v>60.15</v>
      </c>
      <c r="N20">
        <v>3.4495</v>
      </c>
      <c r="O20">
        <v>54.390900000000002</v>
      </c>
      <c r="P20">
        <v>3.2174</v>
      </c>
      <c r="Q20">
        <f>51/(250/1000)</f>
        <v>204</v>
      </c>
      <c r="R20">
        <f t="shared" si="1"/>
        <v>234.32021815348656</v>
      </c>
      <c r="S20">
        <f t="shared" si="2"/>
        <v>13.43786521231009</v>
      </c>
      <c r="T20">
        <f t="shared" si="3"/>
        <v>211.88507985975849</v>
      </c>
      <c r="U20">
        <f t="shared" si="4"/>
        <v>12.533696922477601</v>
      </c>
      <c r="V20">
        <f t="shared" si="5"/>
        <v>2.2316211252713005</v>
      </c>
      <c r="W20">
        <f t="shared" si="5"/>
        <v>0.12797966868866753</v>
      </c>
      <c r="X20">
        <f t="shared" si="5"/>
        <v>2.0179531415215095</v>
      </c>
      <c r="Y20">
        <f t="shared" si="5"/>
        <v>0.1193685421188343</v>
      </c>
      <c r="Z20">
        <f t="shared" si="6"/>
        <v>31.746031746031743</v>
      </c>
      <c r="AA20">
        <f t="shared" si="7"/>
        <v>111.1111111111111</v>
      </c>
      <c r="AB20">
        <f t="shared" si="8"/>
        <v>317.46031746031741</v>
      </c>
      <c r="AC20">
        <f t="shared" si="9"/>
        <v>6.3769076232766146E-3</v>
      </c>
      <c r="AE20">
        <f t="shared" si="10"/>
        <v>2.1989336631988328E-2</v>
      </c>
      <c r="AG20">
        <f t="shared" si="11"/>
        <v>5.576901152893974E-2</v>
      </c>
      <c r="AH20">
        <f t="shared" si="12"/>
        <v>8.8766452402816043</v>
      </c>
      <c r="AI20">
        <f t="shared" si="13"/>
        <v>0.2857142857142857</v>
      </c>
      <c r="AJ20">
        <f t="shared" si="14"/>
        <v>0.4978280009914875</v>
      </c>
      <c r="AK20">
        <f t="shared" si="15"/>
        <v>3.8314176245210725E-2</v>
      </c>
      <c r="AM20">
        <f t="shared" si="16"/>
        <v>0.60317460317460303</v>
      </c>
      <c r="AN20">
        <f t="shared" si="17"/>
        <v>1.2116124484225566</v>
      </c>
      <c r="AO20">
        <f t="shared" si="18"/>
        <v>0.10522798831282312</v>
      </c>
      <c r="AP20">
        <f t="shared" si="19"/>
        <v>0.13210884531463207</v>
      </c>
      <c r="AQ20">
        <f t="shared" si="20"/>
        <v>9.3945435419156786E-2</v>
      </c>
      <c r="AR20">
        <f t="shared" si="21"/>
        <v>0.10134661005801662</v>
      </c>
      <c r="AS20">
        <f t="shared" si="22"/>
        <v>3.2187192118226599E-2</v>
      </c>
    </row>
    <row r="21" spans="2:45" x14ac:dyDescent="0.2">
      <c r="B21">
        <v>31.5</v>
      </c>
      <c r="C21">
        <v>0.17932999999999999</v>
      </c>
      <c r="D21">
        <v>5.7007999999999998E-3</v>
      </c>
      <c r="E21">
        <v>20.89</v>
      </c>
      <c r="F21">
        <v>5.8692000000000002</v>
      </c>
      <c r="G21" t="s">
        <v>11</v>
      </c>
      <c r="K21">
        <v>20</v>
      </c>
      <c r="L21">
        <v>80</v>
      </c>
      <c r="M21">
        <v>52.1648</v>
      </c>
      <c r="N21">
        <v>2.0251000000000001</v>
      </c>
      <c r="O21">
        <v>43.927599999999998</v>
      </c>
      <c r="P21">
        <v>6.9044999999999996</v>
      </c>
      <c r="Q21">
        <f>32/(250/2000)</f>
        <v>256</v>
      </c>
      <c r="R21">
        <f t="shared" si="1"/>
        <v>203.21308920919361</v>
      </c>
      <c r="S21">
        <f t="shared" si="2"/>
        <v>7.8889754577327631</v>
      </c>
      <c r="T21">
        <f t="shared" si="3"/>
        <v>171.12426957537983</v>
      </c>
      <c r="U21">
        <f t="shared" si="4"/>
        <v>26.89715621347877</v>
      </c>
      <c r="V21">
        <f t="shared" si="5"/>
        <v>1.9353627543732725</v>
      </c>
      <c r="W21">
        <f t="shared" si="5"/>
        <v>7.5133099597454886E-2</v>
      </c>
      <c r="X21">
        <f t="shared" si="5"/>
        <v>1.6297549483369507</v>
      </c>
      <c r="Y21">
        <f t="shared" si="5"/>
        <v>0.25616339250932163</v>
      </c>
      <c r="Z21">
        <f t="shared" si="6"/>
        <v>31.746031746031743</v>
      </c>
      <c r="AA21">
        <f t="shared" si="7"/>
        <v>126.98412698412697</v>
      </c>
      <c r="AB21">
        <f t="shared" si="8"/>
        <v>317.46031746031741</v>
      </c>
      <c r="AC21">
        <f t="shared" si="9"/>
        <v>6.3769076232766146E-3</v>
      </c>
      <c r="AE21">
        <f t="shared" si="10"/>
        <v>2.1989336631988328E-2</v>
      </c>
      <c r="AG21">
        <f t="shared" si="11"/>
        <v>5.576901152893974E-2</v>
      </c>
      <c r="AH21">
        <f t="shared" si="12"/>
        <v>10.14473741746469</v>
      </c>
      <c r="AI21">
        <f t="shared" si="13"/>
        <v>0.25</v>
      </c>
      <c r="AJ21">
        <f t="shared" si="14"/>
        <v>0.4978280009914875</v>
      </c>
      <c r="AK21">
        <f t="shared" si="15"/>
        <v>4.3787629994526546E-2</v>
      </c>
      <c r="AM21">
        <f t="shared" si="16"/>
        <v>0.60317460317460303</v>
      </c>
      <c r="AN21">
        <f t="shared" si="17"/>
        <v>1.2116124484225566</v>
      </c>
      <c r="AO21">
        <f t="shared" si="18"/>
        <v>9.0007912591516165E-2</v>
      </c>
      <c r="AP21">
        <f t="shared" si="19"/>
        <v>0.11300074811176934</v>
      </c>
      <c r="AQ21">
        <f t="shared" si="20"/>
        <v>8.0035994786585574E-2</v>
      </c>
      <c r="AR21">
        <f t="shared" si="21"/>
        <v>8.6341361004406134E-2</v>
      </c>
      <c r="AS21">
        <f t="shared" si="22"/>
        <v>2.4643318965517243E-2</v>
      </c>
    </row>
    <row r="22" spans="2:45" x14ac:dyDescent="0.2">
      <c r="B22">
        <v>25</v>
      </c>
      <c r="C22">
        <v>0.14391000000000001</v>
      </c>
      <c r="D22">
        <v>5.7593999999999996E-3</v>
      </c>
      <c r="E22">
        <v>20.89</v>
      </c>
      <c r="F22">
        <v>4.71</v>
      </c>
      <c r="G22" t="s">
        <v>11</v>
      </c>
      <c r="K22">
        <v>20</v>
      </c>
      <c r="L22">
        <v>90</v>
      </c>
      <c r="M22">
        <v>50.608800000000002</v>
      </c>
      <c r="N22">
        <v>3.5644999999999998</v>
      </c>
      <c r="O22">
        <v>42.088099999999997</v>
      </c>
      <c r="P22">
        <v>8.1654999999999998</v>
      </c>
      <c r="Q22">
        <f>39/(250/2000)</f>
        <v>312</v>
      </c>
      <c r="R22">
        <f t="shared" si="1"/>
        <v>197.15153876119987</v>
      </c>
      <c r="S22">
        <f t="shared" si="2"/>
        <v>13.885858979353332</v>
      </c>
      <c r="T22">
        <f t="shared" si="3"/>
        <v>163.95831710167511</v>
      </c>
      <c r="U22">
        <f t="shared" si="4"/>
        <v>31.809505259057268</v>
      </c>
      <c r="V22">
        <f t="shared" si="5"/>
        <v>1.8776337024876177</v>
      </c>
      <c r="W22">
        <f t="shared" si="5"/>
        <v>0.13224627599384126</v>
      </c>
      <c r="X22">
        <f t="shared" si="5"/>
        <v>1.5615077819207153</v>
      </c>
      <c r="Y22">
        <f t="shared" si="5"/>
        <v>0.30294766913387872</v>
      </c>
      <c r="Z22">
        <f t="shared" si="6"/>
        <v>31.746031746031743</v>
      </c>
      <c r="AA22">
        <f t="shared" si="7"/>
        <v>142.85714285714283</v>
      </c>
      <c r="AB22">
        <f t="shared" si="8"/>
        <v>317.46031746031741</v>
      </c>
      <c r="AC22">
        <f t="shared" si="9"/>
        <v>6.3769076232766146E-3</v>
      </c>
      <c r="AE22">
        <f t="shared" si="10"/>
        <v>2.1989336631988328E-2</v>
      </c>
      <c r="AG22">
        <f t="shared" si="11"/>
        <v>5.576901152893974E-2</v>
      </c>
      <c r="AH22">
        <f t="shared" si="12"/>
        <v>11.412829594647773</v>
      </c>
      <c r="AI22">
        <f t="shared" si="13"/>
        <v>0.22222222222222221</v>
      </c>
      <c r="AJ22">
        <f t="shared" si="14"/>
        <v>0.4978280009914875</v>
      </c>
      <c r="AK22">
        <f t="shared" si="15"/>
        <v>4.926108374384236E-2</v>
      </c>
      <c r="AM22">
        <f t="shared" si="16"/>
        <v>0.60317460317460303</v>
      </c>
      <c r="AN22">
        <f t="shared" si="17"/>
        <v>1.2116124484225566</v>
      </c>
      <c r="AO22">
        <f t="shared" si="18"/>
        <v>7.8420975203234877E-2</v>
      </c>
      <c r="AP22">
        <f t="shared" si="19"/>
        <v>9.8453887113646055E-2</v>
      </c>
      <c r="AQ22">
        <f t="shared" si="20"/>
        <v>6.9486801323976582E-2</v>
      </c>
      <c r="AR22">
        <f t="shared" si="21"/>
        <v>7.4961084873783182E-2</v>
      </c>
      <c r="AS22">
        <f t="shared" si="22"/>
        <v>1.9471264367816096E-2</v>
      </c>
    </row>
    <row r="23" spans="2:45" x14ac:dyDescent="0.2">
      <c r="B23">
        <v>19.8</v>
      </c>
      <c r="C23">
        <v>0.11695</v>
      </c>
      <c r="D23">
        <v>5.8919999999999997E-3</v>
      </c>
      <c r="E23">
        <v>20.89</v>
      </c>
      <c r="F23">
        <v>3.8273999999999999</v>
      </c>
      <c r="G23" t="s">
        <v>11</v>
      </c>
      <c r="K23">
        <v>40</v>
      </c>
      <c r="L23">
        <v>100</v>
      </c>
      <c r="M23">
        <v>57.666670000000003</v>
      </c>
      <c r="N23">
        <v>1.9663839999999999</v>
      </c>
      <c r="O23">
        <v>108.5</v>
      </c>
      <c r="P23">
        <v>27.237839999999998</v>
      </c>
      <c r="Q23">
        <f>17/(250/2000)</f>
        <v>136</v>
      </c>
      <c r="R23">
        <f t="shared" si="1"/>
        <v>224.64616283599534</v>
      </c>
      <c r="S23">
        <f t="shared" si="2"/>
        <v>7.6602415270744064</v>
      </c>
      <c r="T23">
        <f t="shared" si="3"/>
        <v>422.67238021036229</v>
      </c>
      <c r="U23">
        <f t="shared" si="4"/>
        <v>106.10767432800935</v>
      </c>
      <c r="V23">
        <f t="shared" si="5"/>
        <v>2.1394872651047177</v>
      </c>
      <c r="W23">
        <f t="shared" si="5"/>
        <v>7.2954681210232436E-2</v>
      </c>
      <c r="X23">
        <f t="shared" si="5"/>
        <v>4.0254512400986888</v>
      </c>
      <c r="Y23">
        <f t="shared" si="5"/>
        <v>1.0105492793143749</v>
      </c>
      <c r="Z23">
        <f t="shared" si="6"/>
        <v>63.492063492063487</v>
      </c>
      <c r="AA23">
        <f t="shared" si="7"/>
        <v>158.73015873015871</v>
      </c>
      <c r="AB23">
        <f t="shared" si="8"/>
        <v>634.92063492063482</v>
      </c>
      <c r="AC23">
        <f t="shared" si="9"/>
        <v>6.2313126570550364E-3</v>
      </c>
      <c r="AE23">
        <f t="shared" si="10"/>
        <v>2.1487285024327712E-2</v>
      </c>
      <c r="AG23">
        <f t="shared" si="11"/>
        <v>0.10899143219301301</v>
      </c>
      <c r="AH23">
        <f t="shared" si="12"/>
        <v>12.68092177183086</v>
      </c>
      <c r="AI23">
        <f t="shared" si="13"/>
        <v>0.4</v>
      </c>
      <c r="AJ23">
        <f t="shared" si="14"/>
        <v>1.0189195597524439</v>
      </c>
      <c r="AK23">
        <f t="shared" si="15"/>
        <v>5.4734537493158181E-2</v>
      </c>
      <c r="AM23">
        <f t="shared" si="16"/>
        <v>1.2063492063492061</v>
      </c>
      <c r="AN23">
        <f t="shared" si="17"/>
        <v>1.1839494048404566</v>
      </c>
      <c r="AO23">
        <f t="shared" si="18"/>
        <v>0.14058745537087414</v>
      </c>
      <c r="AP23">
        <f t="shared" si="19"/>
        <v>0.12920630326381646</v>
      </c>
      <c r="AQ23">
        <f t="shared" si="20"/>
        <v>0.14067901746687533</v>
      </c>
      <c r="AR23">
        <f t="shared" si="21"/>
        <v>0.13677551856652431</v>
      </c>
      <c r="AS23">
        <f t="shared" si="22"/>
        <v>3.1543448275862078E-2</v>
      </c>
    </row>
    <row r="24" spans="2:45" x14ac:dyDescent="0.2">
      <c r="B24">
        <v>15.8</v>
      </c>
      <c r="C24">
        <v>9.3823000000000004E-2</v>
      </c>
      <c r="D24">
        <v>5.9506000000000003E-3</v>
      </c>
      <c r="E24">
        <v>20.89</v>
      </c>
      <c r="F24">
        <v>3.0706000000000002</v>
      </c>
      <c r="G24" t="s">
        <v>11</v>
      </c>
      <c r="K24">
        <v>40</v>
      </c>
      <c r="L24">
        <v>40</v>
      </c>
      <c r="M24">
        <v>64.5</v>
      </c>
      <c r="N24">
        <v>1.732051</v>
      </c>
      <c r="O24">
        <v>250</v>
      </c>
      <c r="P24">
        <v>49.3491</v>
      </c>
      <c r="Q24">
        <f>3/(250/2000)</f>
        <v>24</v>
      </c>
      <c r="R24">
        <f t="shared" si="1"/>
        <v>251.26606934164397</v>
      </c>
      <c r="S24">
        <f t="shared" si="2"/>
        <v>6.7473743669653299</v>
      </c>
      <c r="T24">
        <f t="shared" si="3"/>
        <v>973.8994935722634</v>
      </c>
      <c r="U24">
        <f t="shared" si="4"/>
        <v>192.24425399298792</v>
      </c>
      <c r="V24">
        <f t="shared" si="5"/>
        <v>2.3930101842061329</v>
      </c>
      <c r="W24">
        <f t="shared" si="5"/>
        <v>6.4260708256812668E-2</v>
      </c>
      <c r="X24">
        <f t="shared" si="5"/>
        <v>9.2752332721167949</v>
      </c>
      <c r="Y24">
        <f t="shared" si="5"/>
        <v>1.8308976570760755</v>
      </c>
      <c r="Z24">
        <f t="shared" si="6"/>
        <v>63.492063492063487</v>
      </c>
      <c r="AA24">
        <f t="shared" si="7"/>
        <v>63.492063492063487</v>
      </c>
      <c r="AB24">
        <f t="shared" si="8"/>
        <v>634.92063492063482</v>
      </c>
      <c r="AC24">
        <f t="shared" si="9"/>
        <v>6.2313126570550364E-3</v>
      </c>
      <c r="AE24">
        <f t="shared" si="10"/>
        <v>2.1487285024327712E-2</v>
      </c>
      <c r="AG24">
        <f t="shared" si="11"/>
        <v>0.10899143219301301</v>
      </c>
      <c r="AH24">
        <f t="shared" si="12"/>
        <v>5.0723687087323448</v>
      </c>
      <c r="AI24">
        <f t="shared" si="13"/>
        <v>1</v>
      </c>
      <c r="AJ24">
        <f t="shared" si="14"/>
        <v>1.0189195597524439</v>
      </c>
      <c r="AK24">
        <f t="shared" si="15"/>
        <v>2.1893814997263273E-2</v>
      </c>
      <c r="AM24">
        <f t="shared" si="16"/>
        <v>1.2063492063492061</v>
      </c>
      <c r="AN24">
        <f t="shared" si="17"/>
        <v>1.1839494048404566</v>
      </c>
      <c r="AO24">
        <f t="shared" si="18"/>
        <v>0.410711043301833</v>
      </c>
      <c r="AP24">
        <f t="shared" si="19"/>
        <v>0.3774622385380268</v>
      </c>
      <c r="AQ24">
        <f t="shared" si="20"/>
        <v>0.4224325130699112</v>
      </c>
      <c r="AR24">
        <f t="shared" si="21"/>
        <v>0.41071104330183306</v>
      </c>
      <c r="AS24">
        <f t="shared" si="22"/>
        <v>0.19714655172413795</v>
      </c>
    </row>
    <row r="25" spans="2:45" x14ac:dyDescent="0.2">
      <c r="B25">
        <v>12.5</v>
      </c>
      <c r="C25">
        <v>7.5766E-2</v>
      </c>
      <c r="D25">
        <v>6.0496999999999999E-3</v>
      </c>
      <c r="E25">
        <v>20.89</v>
      </c>
      <c r="F25">
        <v>2.4796999999999998</v>
      </c>
      <c r="G25" t="s">
        <v>11</v>
      </c>
      <c r="K25">
        <v>40</v>
      </c>
      <c r="L25">
        <v>60</v>
      </c>
      <c r="R25">
        <f t="shared" si="1"/>
        <v>0</v>
      </c>
      <c r="S25">
        <f t="shared" si="2"/>
        <v>0</v>
      </c>
      <c r="T25">
        <f t="shared" si="3"/>
        <v>0</v>
      </c>
      <c r="U25">
        <f t="shared" si="4"/>
        <v>0</v>
      </c>
      <c r="V25">
        <f t="shared" si="5"/>
        <v>0</v>
      </c>
      <c r="W25">
        <f t="shared" si="5"/>
        <v>0</v>
      </c>
      <c r="X25">
        <f t="shared" si="5"/>
        <v>0</v>
      </c>
      <c r="Y25">
        <f t="shared" si="5"/>
        <v>0</v>
      </c>
      <c r="Z25">
        <f t="shared" si="6"/>
        <v>63.492063492063487</v>
      </c>
      <c r="AA25">
        <f t="shared" si="7"/>
        <v>95.238095238095227</v>
      </c>
      <c r="AB25">
        <f t="shared" si="8"/>
        <v>634.92063492063482</v>
      </c>
      <c r="AC25">
        <f t="shared" si="9"/>
        <v>6.2313126570550364E-3</v>
      </c>
      <c r="AE25">
        <f t="shared" si="10"/>
        <v>2.1487285024327712E-2</v>
      </c>
      <c r="AG25">
        <f t="shared" si="11"/>
        <v>0.10899143219301301</v>
      </c>
      <c r="AH25">
        <f t="shared" si="12"/>
        <v>7.6085530630985172</v>
      </c>
      <c r="AI25">
        <f t="shared" si="13"/>
        <v>0.66666666666666663</v>
      </c>
      <c r="AJ25">
        <f t="shared" si="14"/>
        <v>1.0189195597524439</v>
      </c>
      <c r="AK25">
        <f t="shared" si="15"/>
        <v>3.2840722495894911E-2</v>
      </c>
      <c r="AM25">
        <f t="shared" si="16"/>
        <v>1.2063492063492061</v>
      </c>
      <c r="AN25">
        <f t="shared" si="17"/>
        <v>1.1839494048404566</v>
      </c>
      <c r="AO25">
        <f t="shared" si="18"/>
        <v>0.25556984368477564</v>
      </c>
      <c r="AP25">
        <f t="shared" si="19"/>
        <v>0.23488037848832408</v>
      </c>
      <c r="AQ25">
        <f t="shared" si="20"/>
        <v>0.25968557491258232</v>
      </c>
      <c r="AR25">
        <f t="shared" si="21"/>
        <v>0.25247993490768983</v>
      </c>
      <c r="AS25">
        <f t="shared" si="22"/>
        <v>8.7620689655172418E-2</v>
      </c>
    </row>
    <row r="26" spans="2:45" x14ac:dyDescent="0.2">
      <c r="B26">
        <v>9.98</v>
      </c>
      <c r="C26">
        <v>6.0514999999999999E-2</v>
      </c>
      <c r="D26">
        <v>6.0622999999999996E-3</v>
      </c>
      <c r="E26">
        <v>20.89</v>
      </c>
      <c r="F26">
        <v>1.9804999999999999</v>
      </c>
      <c r="G26" t="s">
        <v>11</v>
      </c>
      <c r="K26">
        <v>40</v>
      </c>
      <c r="L26">
        <v>80</v>
      </c>
      <c r="M26">
        <v>143.16669999999999</v>
      </c>
      <c r="N26">
        <v>59.630249999999997</v>
      </c>
      <c r="O26">
        <v>59.5</v>
      </c>
      <c r="P26">
        <v>2.428992</v>
      </c>
      <c r="Q26">
        <f>7/(250/2000)</f>
        <v>56</v>
      </c>
      <c r="R26">
        <f t="shared" si="1"/>
        <v>557.71990650564862</v>
      </c>
      <c r="S26">
        <f t="shared" si="2"/>
        <v>232.29548110634983</v>
      </c>
      <c r="T26">
        <f t="shared" si="3"/>
        <v>231.78807947019868</v>
      </c>
      <c r="U26">
        <f t="shared" si="4"/>
        <v>9.4623763147643167</v>
      </c>
      <c r="V26">
        <f t="shared" si="5"/>
        <v>5.3116181571966532</v>
      </c>
      <c r="W26">
        <f t="shared" si="5"/>
        <v>2.2123379152985696</v>
      </c>
      <c r="X26">
        <f t="shared" si="5"/>
        <v>2.2075055187637971</v>
      </c>
      <c r="Y26">
        <f t="shared" si="5"/>
        <v>9.0117869664422062E-2</v>
      </c>
      <c r="Z26">
        <f t="shared" si="6"/>
        <v>63.492063492063487</v>
      </c>
      <c r="AA26">
        <f t="shared" si="7"/>
        <v>126.98412698412697</v>
      </c>
      <c r="AB26">
        <f t="shared" si="8"/>
        <v>634.92063492063482</v>
      </c>
      <c r="AC26">
        <f t="shared" si="9"/>
        <v>6.2313126570550364E-3</v>
      </c>
      <c r="AE26">
        <f t="shared" si="10"/>
        <v>2.1487285024327712E-2</v>
      </c>
      <c r="AG26">
        <f t="shared" si="11"/>
        <v>0.10899143219301301</v>
      </c>
      <c r="AH26">
        <f t="shared" si="12"/>
        <v>10.14473741746469</v>
      </c>
      <c r="AI26">
        <f t="shared" si="13"/>
        <v>0.5</v>
      </c>
      <c r="AJ26">
        <f t="shared" si="14"/>
        <v>1.0189195597524439</v>
      </c>
      <c r="AK26">
        <f t="shared" si="15"/>
        <v>4.3787629994526546E-2</v>
      </c>
      <c r="AM26">
        <f t="shared" si="16"/>
        <v>1.2063492063492061</v>
      </c>
      <c r="AN26">
        <f t="shared" si="17"/>
        <v>1.1839494048404566</v>
      </c>
      <c r="AO26">
        <f t="shared" si="18"/>
        <v>0.18252875245656025</v>
      </c>
      <c r="AP26">
        <f t="shared" si="19"/>
        <v>0.16775227407063759</v>
      </c>
      <c r="AQ26">
        <f t="shared" si="20"/>
        <v>0.18387443110380428</v>
      </c>
      <c r="AR26">
        <f t="shared" si="21"/>
        <v>0.17877236504917482</v>
      </c>
      <c r="AS26">
        <f t="shared" si="22"/>
        <v>4.9286637931034487E-2</v>
      </c>
    </row>
    <row r="27" spans="2:45" x14ac:dyDescent="0.2">
      <c r="B27">
        <v>7.9</v>
      </c>
      <c r="C27">
        <v>4.8726999999999999E-2</v>
      </c>
      <c r="D27">
        <v>6.1662000000000002E-3</v>
      </c>
      <c r="E27">
        <v>20.88</v>
      </c>
      <c r="F27">
        <v>1.5947</v>
      </c>
      <c r="G27" t="s">
        <v>11</v>
      </c>
      <c r="K27">
        <v>5</v>
      </c>
      <c r="L27">
        <v>100</v>
      </c>
      <c r="M27">
        <v>15.666700000000001</v>
      </c>
      <c r="N27">
        <v>3.20417</v>
      </c>
      <c r="O27">
        <v>15.33337</v>
      </c>
      <c r="P27">
        <v>4.3089060000000003</v>
      </c>
      <c r="Q27">
        <f>94/(250/2000)</f>
        <v>752</v>
      </c>
      <c r="R27">
        <f t="shared" si="1"/>
        <v>61.031164783794317</v>
      </c>
      <c r="S27">
        <f t="shared" si="2"/>
        <v>12.482158161277757</v>
      </c>
      <c r="T27">
        <f t="shared" si="3"/>
        <v>59.732645111024546</v>
      </c>
      <c r="U27">
        <f t="shared" si="4"/>
        <v>16.785765485001949</v>
      </c>
      <c r="V27">
        <f t="shared" si="5"/>
        <v>0.58124918841708872</v>
      </c>
      <c r="W27">
        <f t="shared" si="5"/>
        <v>0.11887769677407388</v>
      </c>
      <c r="X27">
        <f t="shared" si="5"/>
        <v>0.56888233439071001</v>
      </c>
      <c r="Y27">
        <f t="shared" si="5"/>
        <v>0.15986443319049476</v>
      </c>
      <c r="Z27">
        <f t="shared" si="6"/>
        <v>7.9365079365079358</v>
      </c>
      <c r="AA27">
        <f t="shared" si="7"/>
        <v>158.73015873015871</v>
      </c>
      <c r="AB27">
        <f t="shared" si="8"/>
        <v>79.365079365079353</v>
      </c>
      <c r="AC27">
        <f t="shared" si="9"/>
        <v>6.549427476933589E-3</v>
      </c>
      <c r="AE27">
        <f t="shared" si="10"/>
        <v>2.2584232679081342E-2</v>
      </c>
      <c r="AG27">
        <f t="shared" si="11"/>
        <v>1.4319444394012832E-2</v>
      </c>
      <c r="AH27">
        <f t="shared" si="12"/>
        <v>12.68092177183086</v>
      </c>
      <c r="AI27">
        <f t="shared" si="13"/>
        <v>0.05</v>
      </c>
      <c r="AJ27">
        <f t="shared" si="14"/>
        <v>0.12117865209530913</v>
      </c>
      <c r="AK27">
        <f t="shared" si="15"/>
        <v>5.4734537493158181E-2</v>
      </c>
      <c r="AM27">
        <f t="shared" si="16"/>
        <v>0.15079365079365076</v>
      </c>
      <c r="AN27">
        <f t="shared" si="17"/>
        <v>1.2443912206173815</v>
      </c>
      <c r="AO27">
        <f t="shared" si="18"/>
        <v>1.6857562695565188E-2</v>
      </c>
      <c r="AP27">
        <f t="shared" si="19"/>
        <v>3.9493207625509549E-2</v>
      </c>
      <c r="AQ27">
        <f t="shared" si="20"/>
        <v>1.1601692276706262E-2</v>
      </c>
      <c r="AR27">
        <f t="shared" si="21"/>
        <v>1.5408624922739528E-2</v>
      </c>
      <c r="AS27">
        <f t="shared" si="22"/>
        <v>3.9429310344827597E-3</v>
      </c>
    </row>
    <row r="28" spans="2:45" x14ac:dyDescent="0.2">
      <c r="B28">
        <v>6.29</v>
      </c>
      <c r="C28">
        <v>3.9245000000000002E-2</v>
      </c>
      <c r="D28">
        <v>6.2360000000000002E-3</v>
      </c>
      <c r="E28">
        <v>20.89</v>
      </c>
      <c r="F28">
        <v>1.2844</v>
      </c>
      <c r="G28" t="s">
        <v>11</v>
      </c>
      <c r="K28">
        <v>5</v>
      </c>
      <c r="L28">
        <v>10</v>
      </c>
      <c r="M28">
        <v>59.677900000000001</v>
      </c>
      <c r="N28">
        <v>6.4001000000000001</v>
      </c>
      <c r="O28">
        <v>51.3245</v>
      </c>
      <c r="P28">
        <v>9.5154999999999994</v>
      </c>
      <c r="Q28">
        <f>33/(250/250)</f>
        <v>33</v>
      </c>
      <c r="R28">
        <f t="shared" si="1"/>
        <v>232.48110634982473</v>
      </c>
      <c r="S28">
        <f t="shared" si="2"/>
        <v>24.932216595247372</v>
      </c>
      <c r="T28">
        <f t="shared" si="3"/>
        <v>199.93961823139853</v>
      </c>
      <c r="U28">
        <f t="shared" si="4"/>
        <v>37.068562524347485</v>
      </c>
      <c r="V28">
        <f t="shared" si="5"/>
        <v>2.2141057747602355</v>
      </c>
      <c r="W28">
        <f t="shared" si="5"/>
        <v>0.23744968185949877</v>
      </c>
      <c r="X28">
        <f t="shared" si="5"/>
        <v>1.9041868402990336</v>
      </c>
      <c r="Y28">
        <f t="shared" si="5"/>
        <v>0.35303392880330936</v>
      </c>
      <c r="Z28">
        <f t="shared" si="6"/>
        <v>7.9365079365079358</v>
      </c>
      <c r="AA28">
        <f t="shared" si="7"/>
        <v>15.873015873015872</v>
      </c>
      <c r="AB28">
        <f t="shared" si="8"/>
        <v>79.365079365079353</v>
      </c>
      <c r="AC28">
        <f t="shared" si="9"/>
        <v>6.549427476933589E-3</v>
      </c>
      <c r="AE28">
        <f t="shared" si="10"/>
        <v>2.2584232679081342E-2</v>
      </c>
      <c r="AG28">
        <f t="shared" si="11"/>
        <v>1.4319444394012832E-2</v>
      </c>
      <c r="AH28">
        <f t="shared" si="12"/>
        <v>1.2680921771830862</v>
      </c>
      <c r="AI28">
        <f t="shared" si="13"/>
        <v>0.5</v>
      </c>
      <c r="AJ28">
        <f t="shared" si="14"/>
        <v>0.12117865209530913</v>
      </c>
      <c r="AK28">
        <f t="shared" si="15"/>
        <v>5.4734537493158182E-3</v>
      </c>
      <c r="AM28">
        <f t="shared" si="16"/>
        <v>0.15079365079365076</v>
      </c>
      <c r="AN28">
        <f t="shared" si="17"/>
        <v>1.2443912206173815</v>
      </c>
      <c r="AO28">
        <f t="shared" si="18"/>
        <v>0.24934162387081912</v>
      </c>
      <c r="AP28">
        <f t="shared" si="19"/>
        <v>0.58414734674559754</v>
      </c>
      <c r="AQ28">
        <f t="shared" si="20"/>
        <v>0.18387443110380428</v>
      </c>
      <c r="AR28">
        <f t="shared" si="21"/>
        <v>0.24421024745236528</v>
      </c>
      <c r="AS28">
        <f t="shared" si="22"/>
        <v>0.39429310344827589</v>
      </c>
    </row>
    <row r="29" spans="2:45" x14ac:dyDescent="0.2">
      <c r="B29">
        <v>5.01</v>
      </c>
      <c r="C29">
        <v>3.0505999999999998E-2</v>
      </c>
      <c r="D29">
        <v>6.0930999999999997E-3</v>
      </c>
      <c r="E29">
        <v>20.88</v>
      </c>
      <c r="F29">
        <v>0.99838000000000005</v>
      </c>
      <c r="G29" t="s">
        <v>11</v>
      </c>
      <c r="K29">
        <v>5</v>
      </c>
      <c r="L29">
        <v>20</v>
      </c>
      <c r="M29">
        <v>36.849899999999998</v>
      </c>
      <c r="N29">
        <v>3.3081999999999998</v>
      </c>
      <c r="O29">
        <v>28.35</v>
      </c>
      <c r="P29">
        <v>7.0382999999999996</v>
      </c>
      <c r="Q29">
        <f>138/(250/250)</f>
        <v>138</v>
      </c>
      <c r="R29">
        <f t="shared" si="1"/>
        <v>143.5523957927542</v>
      </c>
      <c r="S29">
        <f t="shared" si="2"/>
        <v>12.887417218543046</v>
      </c>
      <c r="T29">
        <f t="shared" si="3"/>
        <v>110.44020257109467</v>
      </c>
      <c r="U29">
        <f t="shared" si="4"/>
        <v>27.418387222438643</v>
      </c>
      <c r="V29">
        <f t="shared" si="5"/>
        <v>1.3671656742167067</v>
      </c>
      <c r="W29">
        <f t="shared" si="5"/>
        <v>0.1227373068432671</v>
      </c>
      <c r="X29">
        <f t="shared" si="5"/>
        <v>1.0518114530580445</v>
      </c>
      <c r="Y29">
        <f t="shared" si="5"/>
        <v>0.26112749735655849</v>
      </c>
      <c r="Z29">
        <f t="shared" si="6"/>
        <v>7.9365079365079358</v>
      </c>
      <c r="AA29">
        <f t="shared" si="7"/>
        <v>31.746031746031743</v>
      </c>
      <c r="AB29">
        <f t="shared" si="8"/>
        <v>79.365079365079353</v>
      </c>
      <c r="AC29">
        <f t="shared" si="9"/>
        <v>6.549427476933589E-3</v>
      </c>
      <c r="AE29">
        <f t="shared" si="10"/>
        <v>2.2584232679081342E-2</v>
      </c>
      <c r="AG29">
        <f t="shared" si="11"/>
        <v>1.4319444394012832E-2</v>
      </c>
      <c r="AH29">
        <f t="shared" si="12"/>
        <v>2.5361843543661724</v>
      </c>
      <c r="AI29">
        <f t="shared" si="13"/>
        <v>0.25</v>
      </c>
      <c r="AJ29">
        <f t="shared" si="14"/>
        <v>0.12117865209530913</v>
      </c>
      <c r="AK29">
        <f t="shared" si="15"/>
        <v>1.0946907498631636E-2</v>
      </c>
      <c r="AM29">
        <f t="shared" si="16"/>
        <v>0.15079365079365076</v>
      </c>
      <c r="AN29">
        <f t="shared" si="17"/>
        <v>1.2443912206173815</v>
      </c>
      <c r="AO29">
        <f t="shared" si="18"/>
        <v>0.1108127387438827</v>
      </c>
      <c r="AP29">
        <f t="shared" si="19"/>
        <v>0.25960754693884758</v>
      </c>
      <c r="AQ29">
        <f t="shared" si="20"/>
        <v>8.0035994786585574E-2</v>
      </c>
      <c r="AR29">
        <f t="shared" si="21"/>
        <v>0.10629868424117121</v>
      </c>
      <c r="AS29">
        <f t="shared" si="22"/>
        <v>9.8573275862068974E-2</v>
      </c>
    </row>
    <row r="30" spans="2:45" x14ac:dyDescent="0.2">
      <c r="B30">
        <v>3.96</v>
      </c>
      <c r="C30">
        <v>2.4643000000000002E-2</v>
      </c>
      <c r="D30">
        <v>6.2208000000000003E-3</v>
      </c>
      <c r="E30">
        <v>20.88</v>
      </c>
      <c r="F30">
        <v>0.80650999999999995</v>
      </c>
      <c r="G30" t="s">
        <v>11</v>
      </c>
      <c r="K30">
        <v>5</v>
      </c>
      <c r="L30">
        <v>30</v>
      </c>
      <c r="M30">
        <v>18.226700000000001</v>
      </c>
      <c r="N30">
        <v>0.47249999999999998</v>
      </c>
      <c r="O30">
        <v>16.899100000000001</v>
      </c>
      <c r="P30">
        <v>0.29380000000000001</v>
      </c>
      <c r="Q30">
        <f>140/(250/250)</f>
        <v>140</v>
      </c>
      <c r="R30">
        <f t="shared" si="1"/>
        <v>71.003895597974292</v>
      </c>
      <c r="S30">
        <f t="shared" si="2"/>
        <v>1.8406700428515776</v>
      </c>
      <c r="T30">
        <f t="shared" si="3"/>
        <v>65.832099727308147</v>
      </c>
      <c r="U30">
        <f t="shared" si="4"/>
        <v>1.144526684846124</v>
      </c>
      <c r="V30">
        <f t="shared" si="5"/>
        <v>0.67622757712356474</v>
      </c>
      <c r="W30">
        <f t="shared" si="5"/>
        <v>1.7530190884300738E-2</v>
      </c>
      <c r="X30">
        <f t="shared" si="5"/>
        <v>0.62697237835531572</v>
      </c>
      <c r="Y30">
        <f t="shared" si="5"/>
        <v>1.0900254141391657E-2</v>
      </c>
      <c r="Z30">
        <f t="shared" si="6"/>
        <v>7.9365079365079358</v>
      </c>
      <c r="AA30">
        <f t="shared" si="7"/>
        <v>47.619047619047613</v>
      </c>
      <c r="AB30">
        <f t="shared" si="8"/>
        <v>79.365079365079353</v>
      </c>
      <c r="AC30">
        <f t="shared" si="9"/>
        <v>6.549427476933589E-3</v>
      </c>
      <c r="AE30">
        <f t="shared" si="10"/>
        <v>2.2584232679081342E-2</v>
      </c>
      <c r="AG30">
        <f t="shared" si="11"/>
        <v>1.4319444394012832E-2</v>
      </c>
      <c r="AH30">
        <f t="shared" si="12"/>
        <v>3.8042765315492586</v>
      </c>
      <c r="AI30">
        <f t="shared" si="13"/>
        <v>0.16666666666666666</v>
      </c>
      <c r="AJ30">
        <f t="shared" si="14"/>
        <v>0.12117865209530913</v>
      </c>
      <c r="AK30">
        <f t="shared" si="15"/>
        <v>1.6420361247947456E-2</v>
      </c>
      <c r="AM30">
        <f t="shared" si="16"/>
        <v>0.15079365079365076</v>
      </c>
      <c r="AN30">
        <f t="shared" si="17"/>
        <v>1.2443912206173815</v>
      </c>
      <c r="AO30">
        <f t="shared" si="18"/>
        <v>6.8954547925908133E-2</v>
      </c>
      <c r="AP30">
        <f t="shared" si="19"/>
        <v>0.16154389143559023</v>
      </c>
      <c r="AQ30">
        <f t="shared" si="20"/>
        <v>4.9201215997347274E-2</v>
      </c>
      <c r="AR30">
        <f t="shared" si="21"/>
        <v>6.5345905145921368E-2</v>
      </c>
      <c r="AS30">
        <f t="shared" si="22"/>
        <v>4.3810344827586209E-2</v>
      </c>
    </row>
    <row r="31" spans="2:45" x14ac:dyDescent="0.2">
      <c r="B31">
        <v>3.16</v>
      </c>
      <c r="C31">
        <v>1.9786999999999999E-2</v>
      </c>
      <c r="D31">
        <v>6.2633000000000003E-3</v>
      </c>
      <c r="E31">
        <v>20.88</v>
      </c>
      <c r="F31">
        <v>0.64756999999999998</v>
      </c>
      <c r="G31" t="s">
        <v>11</v>
      </c>
      <c r="K31">
        <v>5</v>
      </c>
      <c r="L31">
        <v>40</v>
      </c>
      <c r="M31">
        <v>17.899999999999999</v>
      </c>
      <c r="N31">
        <v>0.3019</v>
      </c>
      <c r="O31">
        <v>16.672899999999998</v>
      </c>
      <c r="P31">
        <v>0.25109999999999999</v>
      </c>
      <c r="Q31">
        <f>97/(250/500)</f>
        <v>194</v>
      </c>
      <c r="R31">
        <f t="shared" si="1"/>
        <v>69.73120373977406</v>
      </c>
      <c r="S31">
        <f t="shared" si="2"/>
        <v>1.1760810284378653</v>
      </c>
      <c r="T31">
        <f t="shared" si="3"/>
        <v>64.950915465523963</v>
      </c>
      <c r="U31">
        <f t="shared" si="4"/>
        <v>0.97818465134398136</v>
      </c>
      <c r="V31">
        <f t="shared" si="5"/>
        <v>0.6641067022835625</v>
      </c>
      <c r="W31">
        <f t="shared" si="5"/>
        <v>1.1200771699408241E-2</v>
      </c>
      <c r="X31">
        <f t="shared" si="5"/>
        <v>0.61858014729070443</v>
      </c>
      <c r="Y31">
        <f t="shared" si="5"/>
        <v>9.3160442985141083E-3</v>
      </c>
      <c r="Z31">
        <f t="shared" si="6"/>
        <v>7.9365079365079358</v>
      </c>
      <c r="AA31">
        <f t="shared" si="7"/>
        <v>63.492063492063487</v>
      </c>
      <c r="AB31">
        <f t="shared" si="8"/>
        <v>79.365079365079353</v>
      </c>
      <c r="AC31">
        <f t="shared" si="9"/>
        <v>6.549427476933589E-3</v>
      </c>
      <c r="AE31">
        <f t="shared" si="10"/>
        <v>2.2584232679081342E-2</v>
      </c>
      <c r="AG31">
        <f t="shared" si="11"/>
        <v>1.4319444394012832E-2</v>
      </c>
      <c r="AH31">
        <f t="shared" si="12"/>
        <v>5.0723687087323448</v>
      </c>
      <c r="AI31">
        <f t="shared" si="13"/>
        <v>0.125</v>
      </c>
      <c r="AJ31">
        <f t="shared" si="14"/>
        <v>0.12117865209530913</v>
      </c>
      <c r="AK31">
        <f t="shared" si="15"/>
        <v>2.1893814997263273E-2</v>
      </c>
      <c r="AM31">
        <f t="shared" si="16"/>
        <v>0.15079365079365076</v>
      </c>
      <c r="AN31">
        <f t="shared" si="17"/>
        <v>1.2443912206173815</v>
      </c>
      <c r="AO31">
        <f t="shared" si="18"/>
        <v>4.9247545906261687E-2</v>
      </c>
      <c r="AP31">
        <f t="shared" si="19"/>
        <v>0.11537513403610075</v>
      </c>
      <c r="AQ31">
        <f t="shared" si="20"/>
        <v>3.4837690172713855E-2</v>
      </c>
      <c r="AR31">
        <f t="shared" si="21"/>
        <v>4.626918972189422E-2</v>
      </c>
      <c r="AS31">
        <f t="shared" si="22"/>
        <v>2.4643318965517243E-2</v>
      </c>
    </row>
    <row r="32" spans="2:45" x14ac:dyDescent="0.2">
      <c r="B32">
        <v>2.5099999999999998</v>
      </c>
      <c r="C32">
        <v>1.5625E-2</v>
      </c>
      <c r="D32">
        <v>6.2261E-3</v>
      </c>
      <c r="E32">
        <v>20.88</v>
      </c>
      <c r="F32">
        <v>0.51136000000000004</v>
      </c>
      <c r="G32" t="s">
        <v>11</v>
      </c>
      <c r="K32">
        <v>5</v>
      </c>
      <c r="L32">
        <v>50</v>
      </c>
      <c r="M32">
        <v>27.794799999999999</v>
      </c>
      <c r="N32">
        <v>1.647</v>
      </c>
      <c r="O32">
        <v>25.750399999999999</v>
      </c>
      <c r="P32">
        <v>2.0811999999999999</v>
      </c>
      <c r="Q32">
        <f>122/(250/500)</f>
        <v>244</v>
      </c>
      <c r="R32">
        <f t="shared" si="1"/>
        <v>108.27736657576938</v>
      </c>
      <c r="S32">
        <f t="shared" si="2"/>
        <v>6.416049863654071</v>
      </c>
      <c r="T32">
        <f t="shared" si="3"/>
        <v>100.31320607713285</v>
      </c>
      <c r="U32">
        <f t="shared" si="4"/>
        <v>8.107518504090379</v>
      </c>
      <c r="V32">
        <f t="shared" si="5"/>
        <v>1.0312130150073273</v>
      </c>
      <c r="W32">
        <f t="shared" si="5"/>
        <v>6.1105236796705438E-2</v>
      </c>
      <c r="X32">
        <f t="shared" si="5"/>
        <v>0.95536386740126522</v>
      </c>
      <c r="Y32">
        <f t="shared" si="5"/>
        <v>7.7214461943717894E-2</v>
      </c>
      <c r="Z32">
        <f t="shared" si="6"/>
        <v>7.9365079365079358</v>
      </c>
      <c r="AA32">
        <f t="shared" si="7"/>
        <v>79.365079365079353</v>
      </c>
      <c r="AB32">
        <f t="shared" si="8"/>
        <v>79.365079365079353</v>
      </c>
      <c r="AC32">
        <f t="shared" si="9"/>
        <v>6.549427476933589E-3</v>
      </c>
      <c r="AE32">
        <f t="shared" si="10"/>
        <v>2.2584232679081342E-2</v>
      </c>
      <c r="AG32">
        <f t="shared" si="11"/>
        <v>1.4319444394012832E-2</v>
      </c>
      <c r="AH32">
        <f t="shared" si="12"/>
        <v>6.3404608859154301</v>
      </c>
      <c r="AI32">
        <f t="shared" si="13"/>
        <v>0.1</v>
      </c>
      <c r="AJ32">
        <f t="shared" si="14"/>
        <v>0.12117865209530913</v>
      </c>
      <c r="AK32">
        <f t="shared" si="15"/>
        <v>2.736726874657909E-2</v>
      </c>
      <c r="AM32">
        <f t="shared" si="16"/>
        <v>0.15079365079365076</v>
      </c>
      <c r="AN32">
        <f t="shared" si="17"/>
        <v>1.2443912206173815</v>
      </c>
      <c r="AO32">
        <f t="shared" si="18"/>
        <v>3.7931487883638343E-2</v>
      </c>
      <c r="AP32">
        <f t="shared" si="19"/>
        <v>8.8864336653312601E-2</v>
      </c>
      <c r="AQ32">
        <f t="shared" si="20"/>
        <v>2.6653689666868569E-2</v>
      </c>
      <c r="AR32">
        <f t="shared" si="21"/>
        <v>3.539972420303443E-2</v>
      </c>
      <c r="AS32">
        <f t="shared" si="22"/>
        <v>1.5771724137931039E-2</v>
      </c>
    </row>
    <row r="33" spans="2:45" x14ac:dyDescent="0.2">
      <c r="B33">
        <v>1.99</v>
      </c>
      <c r="C33">
        <v>1.5377E-2</v>
      </c>
      <c r="D33">
        <v>7.7105000000000003E-3</v>
      </c>
      <c r="E33">
        <v>20.87</v>
      </c>
      <c r="F33">
        <v>0.50324000000000002</v>
      </c>
      <c r="G33" t="s">
        <v>11</v>
      </c>
      <c r="K33">
        <v>5</v>
      </c>
      <c r="L33">
        <v>60</v>
      </c>
      <c r="M33">
        <v>27.195799999999998</v>
      </c>
      <c r="N33">
        <v>1.7699</v>
      </c>
      <c r="O33">
        <v>21.723099999999999</v>
      </c>
      <c r="P33">
        <v>5.0313999999999997</v>
      </c>
      <c r="Q33">
        <f>68/(250/1000)</f>
        <v>272</v>
      </c>
      <c r="R33">
        <f t="shared" si="1"/>
        <v>105.94390338917025</v>
      </c>
      <c r="S33">
        <f t="shared" si="2"/>
        <v>6.8948188546941962</v>
      </c>
      <c r="T33">
        <f t="shared" si="3"/>
        <v>84.624464355278533</v>
      </c>
      <c r="U33">
        <f t="shared" si="4"/>
        <v>19.600311647837945</v>
      </c>
      <c r="V33">
        <f t="shared" si="5"/>
        <v>1.0089895560873356</v>
      </c>
      <c r="W33">
        <f t="shared" si="5"/>
        <v>6.566494147327806E-2</v>
      </c>
      <c r="X33">
        <f t="shared" si="5"/>
        <v>0.8059472795740813</v>
      </c>
      <c r="Y33">
        <f t="shared" si="5"/>
        <v>0.18666963474131376</v>
      </c>
      <c r="Z33">
        <f t="shared" si="6"/>
        <v>7.9365079365079358</v>
      </c>
      <c r="AA33">
        <f t="shared" si="7"/>
        <v>95.238095238095227</v>
      </c>
      <c r="AB33">
        <f t="shared" si="8"/>
        <v>79.365079365079353</v>
      </c>
      <c r="AC33">
        <f t="shared" si="9"/>
        <v>6.549427476933589E-3</v>
      </c>
      <c r="AE33">
        <f t="shared" si="10"/>
        <v>2.2584232679081342E-2</v>
      </c>
      <c r="AG33">
        <f t="shared" si="11"/>
        <v>1.4319444394012832E-2</v>
      </c>
      <c r="AH33">
        <f t="shared" si="12"/>
        <v>7.6085530630985172</v>
      </c>
      <c r="AI33">
        <f t="shared" si="13"/>
        <v>8.3333333333333329E-2</v>
      </c>
      <c r="AJ33">
        <f t="shared" si="14"/>
        <v>0.12117865209530913</v>
      </c>
      <c r="AK33">
        <f t="shared" si="15"/>
        <v>3.2840722495894911E-2</v>
      </c>
      <c r="AM33">
        <f t="shared" si="16"/>
        <v>0.15079365079365076</v>
      </c>
      <c r="AN33">
        <f t="shared" si="17"/>
        <v>1.2443912206173815</v>
      </c>
      <c r="AO33">
        <f t="shared" si="18"/>
        <v>3.0644872628546475E-2</v>
      </c>
      <c r="AP33">
        <f t="shared" si="19"/>
        <v>7.1793552794845686E-2</v>
      </c>
      <c r="AQ33">
        <f t="shared" si="20"/>
        <v>2.1416073150672468E-2</v>
      </c>
      <c r="AR33">
        <f t="shared" si="21"/>
        <v>2.844345726693847E-2</v>
      </c>
      <c r="AS33">
        <f t="shared" si="22"/>
        <v>1.0952586206896552E-2</v>
      </c>
    </row>
    <row r="34" spans="2:45" x14ac:dyDescent="0.2">
      <c r="B34">
        <v>1.58</v>
      </c>
      <c r="C34">
        <v>1.0288E-2</v>
      </c>
      <c r="D34">
        <v>6.4932999999999996E-3</v>
      </c>
      <c r="E34">
        <v>20.88</v>
      </c>
      <c r="F34">
        <v>0.33671000000000001</v>
      </c>
      <c r="G34" t="s">
        <v>11</v>
      </c>
      <c r="K34">
        <v>5</v>
      </c>
      <c r="L34">
        <v>70</v>
      </c>
      <c r="M34">
        <v>32.756799999999998</v>
      </c>
      <c r="N34">
        <v>1.7343</v>
      </c>
      <c r="O34">
        <v>23.941500000000001</v>
      </c>
      <c r="P34">
        <v>1.9997</v>
      </c>
      <c r="Q34">
        <f>108/(250/1000)</f>
        <v>432</v>
      </c>
      <c r="R34">
        <f t="shared" si="1"/>
        <v>127.60732372419166</v>
      </c>
      <c r="S34">
        <f t="shared" si="2"/>
        <v>6.7561355668095056</v>
      </c>
      <c r="T34">
        <f t="shared" si="3"/>
        <v>93.266458901441382</v>
      </c>
      <c r="U34">
        <f t="shared" si="4"/>
        <v>7.7900272691858206</v>
      </c>
      <c r="V34">
        <f t="shared" si="5"/>
        <v>1.2153078449923016</v>
      </c>
      <c r="W34">
        <f t="shared" si="5"/>
        <v>6.4344148255328623E-2</v>
      </c>
      <c r="X34">
        <f t="shared" si="5"/>
        <v>0.88825198953753692</v>
      </c>
      <c r="Y34">
        <f t="shared" si="5"/>
        <v>7.4190735897007809E-2</v>
      </c>
      <c r="Z34">
        <f t="shared" si="6"/>
        <v>7.9365079365079358</v>
      </c>
      <c r="AA34">
        <f t="shared" si="7"/>
        <v>111.1111111111111</v>
      </c>
      <c r="AB34">
        <f t="shared" si="8"/>
        <v>79.365079365079353</v>
      </c>
      <c r="AC34">
        <f t="shared" si="9"/>
        <v>6.549427476933589E-3</v>
      </c>
      <c r="AE34">
        <f t="shared" si="10"/>
        <v>2.2584232679081342E-2</v>
      </c>
      <c r="AG34">
        <f t="shared" si="11"/>
        <v>1.4319444394012832E-2</v>
      </c>
      <c r="AH34">
        <f t="shared" si="12"/>
        <v>8.8766452402816043</v>
      </c>
      <c r="AI34">
        <f t="shared" si="13"/>
        <v>7.1428571428571425E-2</v>
      </c>
      <c r="AJ34">
        <f t="shared" si="14"/>
        <v>0.12117865209530913</v>
      </c>
      <c r="AK34">
        <f t="shared" si="15"/>
        <v>3.8314176245210725E-2</v>
      </c>
      <c r="AM34">
        <f t="shared" si="16"/>
        <v>0.15079365079365076</v>
      </c>
      <c r="AN34">
        <f t="shared" si="17"/>
        <v>1.2443912206173815</v>
      </c>
      <c r="AO34">
        <f t="shared" si="18"/>
        <v>2.5587630859677388E-2</v>
      </c>
      <c r="AP34">
        <f t="shared" si="19"/>
        <v>5.9945653854930177E-2</v>
      </c>
      <c r="AQ34">
        <f t="shared" si="20"/>
        <v>1.7799331601606086E-2</v>
      </c>
      <c r="AR34">
        <f t="shared" si="21"/>
        <v>2.3639932691136383E-2</v>
      </c>
      <c r="AS34">
        <f t="shared" si="22"/>
        <v>8.0467980295566496E-3</v>
      </c>
    </row>
    <row r="35" spans="2:45" x14ac:dyDescent="0.2">
      <c r="B35">
        <v>1.26</v>
      </c>
      <c r="C35">
        <v>8.3601999999999999E-3</v>
      </c>
      <c r="D35">
        <v>6.6426999999999996E-3</v>
      </c>
      <c r="E35">
        <v>20.88</v>
      </c>
      <c r="F35">
        <v>0.27361000000000002</v>
      </c>
      <c r="G35" t="s">
        <v>11</v>
      </c>
      <c r="K35">
        <v>5</v>
      </c>
      <c r="L35">
        <v>80</v>
      </c>
      <c r="M35">
        <v>20.028600000000001</v>
      </c>
      <c r="N35">
        <v>1.1180000000000001</v>
      </c>
      <c r="O35">
        <v>15.391400000000001</v>
      </c>
      <c r="P35">
        <v>3.8677000000000001</v>
      </c>
      <c r="Q35">
        <f>147/(250/1000)</f>
        <v>588</v>
      </c>
      <c r="R35">
        <f t="shared" si="1"/>
        <v>78.02337358784574</v>
      </c>
      <c r="S35">
        <f t="shared" si="2"/>
        <v>4.3552785352551622</v>
      </c>
      <c r="T35">
        <f t="shared" si="3"/>
        <v>59.95870666147254</v>
      </c>
      <c r="U35">
        <f t="shared" si="4"/>
        <v>15.067004285157774</v>
      </c>
      <c r="V35">
        <f t="shared" si="5"/>
        <v>0.74307974845567371</v>
      </c>
      <c r="W35">
        <f t="shared" si="5"/>
        <v>4.1478843192906303E-2</v>
      </c>
      <c r="X35">
        <f t="shared" si="5"/>
        <v>0.57103530153783366</v>
      </c>
      <c r="Y35">
        <f t="shared" si="5"/>
        <v>0.14349527890626451</v>
      </c>
      <c r="Z35">
        <f t="shared" si="6"/>
        <v>7.9365079365079358</v>
      </c>
      <c r="AA35">
        <f t="shared" si="7"/>
        <v>126.98412698412697</v>
      </c>
      <c r="AB35">
        <f t="shared" si="8"/>
        <v>79.365079365079353</v>
      </c>
      <c r="AC35">
        <f t="shared" si="9"/>
        <v>6.549427476933589E-3</v>
      </c>
      <c r="AE35">
        <f t="shared" si="10"/>
        <v>2.2584232679081342E-2</v>
      </c>
      <c r="AG35">
        <f t="shared" si="11"/>
        <v>1.4319444394012832E-2</v>
      </c>
      <c r="AH35">
        <f t="shared" si="12"/>
        <v>10.14473741746469</v>
      </c>
      <c r="AI35">
        <f t="shared" si="13"/>
        <v>6.25E-2</v>
      </c>
      <c r="AJ35">
        <f t="shared" si="14"/>
        <v>0.12117865209530913</v>
      </c>
      <c r="AK35">
        <f t="shared" si="15"/>
        <v>4.3787629994526546E-2</v>
      </c>
      <c r="AM35">
        <f t="shared" si="16"/>
        <v>0.15079365079365076</v>
      </c>
      <c r="AN35">
        <f t="shared" si="17"/>
        <v>1.2443912206173815</v>
      </c>
      <c r="AO35">
        <f t="shared" si="18"/>
        <v>2.1886660372097688E-2</v>
      </c>
      <c r="AP35">
        <f t="shared" si="19"/>
        <v>5.1275171738300089E-2</v>
      </c>
      <c r="AQ35">
        <f t="shared" si="20"/>
        <v>1.5163985401895954E-2</v>
      </c>
      <c r="AR35">
        <f t="shared" si="21"/>
        <v>2.0139834587825131E-2</v>
      </c>
      <c r="AS35">
        <f t="shared" si="22"/>
        <v>6.1608297413793109E-3</v>
      </c>
    </row>
    <row r="36" spans="2:45" x14ac:dyDescent="0.2">
      <c r="B36">
        <v>1</v>
      </c>
      <c r="C36">
        <v>6.7092000000000002E-3</v>
      </c>
      <c r="D36">
        <v>6.7104E-3</v>
      </c>
      <c r="E36">
        <v>20.9</v>
      </c>
      <c r="F36">
        <v>0.21958</v>
      </c>
      <c r="G36" t="s">
        <v>11</v>
      </c>
      <c r="K36">
        <v>5</v>
      </c>
      <c r="L36">
        <v>90</v>
      </c>
      <c r="M36">
        <v>21.835999999999999</v>
      </c>
      <c r="N36">
        <v>2.1086</v>
      </c>
      <c r="O36">
        <v>21.217099999999999</v>
      </c>
      <c r="P36">
        <v>2.1185</v>
      </c>
      <c r="Q36">
        <f>71/(250/2000)</f>
        <v>568</v>
      </c>
      <c r="R36">
        <f t="shared" si="1"/>
        <v>85.064277366575766</v>
      </c>
      <c r="S36">
        <f t="shared" si="2"/>
        <v>8.2142578885858981</v>
      </c>
      <c r="T36">
        <f t="shared" si="3"/>
        <v>82.653291780288271</v>
      </c>
      <c r="U36">
        <f t="shared" si="4"/>
        <v>8.2528243085313608</v>
      </c>
      <c r="V36">
        <f t="shared" si="5"/>
        <v>0.81013597491976919</v>
      </c>
      <c r="W36">
        <f t="shared" si="5"/>
        <v>7.8231027510341888E-2</v>
      </c>
      <c r="X36">
        <f t="shared" si="5"/>
        <v>0.78717420743131683</v>
      </c>
      <c r="Y36">
        <f t="shared" si="5"/>
        <v>7.8598326747917724E-2</v>
      </c>
      <c r="Z36">
        <f t="shared" si="6"/>
        <v>7.9365079365079358</v>
      </c>
      <c r="AA36">
        <f t="shared" si="7"/>
        <v>142.85714285714283</v>
      </c>
      <c r="AB36">
        <f t="shared" si="8"/>
        <v>79.365079365079353</v>
      </c>
      <c r="AC36">
        <f t="shared" si="9"/>
        <v>6.549427476933589E-3</v>
      </c>
      <c r="AE36">
        <f t="shared" si="10"/>
        <v>2.2584232679081342E-2</v>
      </c>
      <c r="AG36">
        <f t="shared" si="11"/>
        <v>1.4319444394012832E-2</v>
      </c>
      <c r="AH36">
        <f t="shared" si="12"/>
        <v>11.412829594647773</v>
      </c>
      <c r="AI36">
        <f t="shared" si="13"/>
        <v>5.5555555555555552E-2</v>
      </c>
      <c r="AJ36">
        <f t="shared" si="14"/>
        <v>0.12117865209530913</v>
      </c>
      <c r="AK36">
        <f t="shared" si="15"/>
        <v>4.926108374384236E-2</v>
      </c>
      <c r="AM36">
        <f t="shared" si="16"/>
        <v>0.15079365079365076</v>
      </c>
      <c r="AN36">
        <f t="shared" si="17"/>
        <v>1.2443912206173815</v>
      </c>
      <c r="AO36">
        <f t="shared" si="18"/>
        <v>1.906913737808064E-2</v>
      </c>
      <c r="AP36">
        <f t="shared" si="19"/>
        <v>4.4674394235533585E-2</v>
      </c>
      <c r="AQ36">
        <f t="shared" si="20"/>
        <v>1.3165286990070999E-2</v>
      </c>
      <c r="AR36">
        <f t="shared" si="21"/>
        <v>1.7485291317157606E-2</v>
      </c>
      <c r="AS36">
        <f t="shared" si="22"/>
        <v>4.8678160919540239E-3</v>
      </c>
    </row>
    <row r="37" spans="2:45" x14ac:dyDescent="0.2">
      <c r="B37" s="3" t="s">
        <v>28</v>
      </c>
      <c r="D37" s="3" t="s">
        <v>35</v>
      </c>
      <c r="E37" s="3"/>
    </row>
    <row r="38" spans="2:45" x14ac:dyDescent="0.2">
      <c r="B38" s="3" t="s">
        <v>47</v>
      </c>
      <c r="D38">
        <v>3.63</v>
      </c>
    </row>
  </sheetData>
  <mergeCells count="1">
    <mergeCell ref="B2:G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F4F1D-E7A1-4749-A2ED-4148FE492DFB}">
  <dimension ref="B2:AS51"/>
  <sheetViews>
    <sheetView topLeftCell="AB1" workbookViewId="0">
      <selection activeCell="AS4" sqref="AS4:AS34"/>
    </sheetView>
  </sheetViews>
  <sheetFormatPr baseColWidth="10" defaultRowHeight="16" x14ac:dyDescent="0.2"/>
  <cols>
    <col min="2" max="2" width="26.33203125" customWidth="1"/>
    <col min="9" max="9" width="16.5" bestFit="1" customWidth="1"/>
    <col min="16" max="16" width="11.6640625" bestFit="1" customWidth="1"/>
    <col min="17" max="17" width="13.1640625" bestFit="1" customWidth="1"/>
    <col min="25" max="25" width="11.1640625" bestFit="1" customWidth="1"/>
    <col min="28" max="28" width="16.33203125" customWidth="1"/>
    <col min="31" max="31" width="19.33203125" customWidth="1"/>
    <col min="32" max="32" width="23" bestFit="1" customWidth="1"/>
    <col min="41" max="41" width="23.1640625" bestFit="1" customWidth="1"/>
    <col min="42" max="42" width="33.33203125" bestFit="1" customWidth="1"/>
    <col min="43" max="43" width="16" bestFit="1" customWidth="1"/>
    <col min="44" max="44" width="21.6640625" bestFit="1" customWidth="1"/>
  </cols>
  <sheetData>
    <row r="2" spans="2:45" x14ac:dyDescent="0.2">
      <c r="B2" s="8" t="s">
        <v>12</v>
      </c>
      <c r="C2" s="8"/>
      <c r="D2" s="8"/>
      <c r="E2" s="8"/>
      <c r="F2" s="8"/>
      <c r="G2" s="8"/>
    </row>
    <row r="3" spans="2:45" x14ac:dyDescent="0.2"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I3" t="s">
        <v>19</v>
      </c>
      <c r="J3" t="s">
        <v>13</v>
      </c>
      <c r="K3" t="s">
        <v>14</v>
      </c>
      <c r="L3" t="s">
        <v>15</v>
      </c>
      <c r="M3" t="s">
        <v>16</v>
      </c>
      <c r="N3" t="s">
        <v>20</v>
      </c>
      <c r="O3" t="s">
        <v>17</v>
      </c>
      <c r="P3" t="s">
        <v>21</v>
      </c>
      <c r="Q3" t="s">
        <v>27</v>
      </c>
      <c r="R3" t="s">
        <v>18</v>
      </c>
      <c r="S3" t="s">
        <v>22</v>
      </c>
      <c r="T3" t="s">
        <v>23</v>
      </c>
      <c r="U3" t="s">
        <v>24</v>
      </c>
      <c r="V3" s="4" t="s">
        <v>25</v>
      </c>
      <c r="W3" s="4" t="s">
        <v>26</v>
      </c>
      <c r="X3" s="4" t="s">
        <v>38</v>
      </c>
      <c r="Y3" s="4" t="s">
        <v>39</v>
      </c>
      <c r="Z3" t="s">
        <v>32</v>
      </c>
      <c r="AA3" t="s">
        <v>33</v>
      </c>
      <c r="AB3" t="s">
        <v>31</v>
      </c>
      <c r="AC3" t="s">
        <v>29</v>
      </c>
      <c r="AD3" t="s">
        <v>30</v>
      </c>
      <c r="AE3" s="4" t="s">
        <v>34</v>
      </c>
      <c r="AF3" t="s">
        <v>35</v>
      </c>
      <c r="AG3" s="4" t="s">
        <v>37</v>
      </c>
      <c r="AH3" s="4" t="s">
        <v>36</v>
      </c>
      <c r="AI3" s="4" t="s">
        <v>40</v>
      </c>
      <c r="AJ3" s="4" t="s">
        <v>41</v>
      </c>
      <c r="AK3" s="4" t="s">
        <v>42</v>
      </c>
      <c r="AL3" t="s">
        <v>45</v>
      </c>
      <c r="AM3" s="4" t="s">
        <v>43</v>
      </c>
      <c r="AN3" s="4" t="s">
        <v>44</v>
      </c>
      <c r="AO3" s="4" t="s">
        <v>57</v>
      </c>
      <c r="AP3" s="4" t="s">
        <v>58</v>
      </c>
      <c r="AQ3" s="4" t="s">
        <v>59</v>
      </c>
      <c r="AR3" s="4" t="s">
        <v>60</v>
      </c>
      <c r="AS3" s="4" t="s">
        <v>61</v>
      </c>
    </row>
    <row r="4" spans="2:45" x14ac:dyDescent="0.2">
      <c r="I4">
        <v>100</v>
      </c>
      <c r="J4">
        <v>105</v>
      </c>
      <c r="K4">
        <v>10</v>
      </c>
      <c r="L4">
        <v>100</v>
      </c>
      <c r="M4">
        <v>28.399000000000001</v>
      </c>
      <c r="N4">
        <v>0.81810000000000005</v>
      </c>
      <c r="O4">
        <v>26.439800000000002</v>
      </c>
      <c r="P4">
        <v>0.4587</v>
      </c>
      <c r="Q4">
        <f>65/(250/2000)</f>
        <v>520</v>
      </c>
      <c r="R4">
        <f>M4/0.2567</f>
        <v>110.63108687183484</v>
      </c>
      <c r="S4">
        <f t="shared" ref="S4:U4" si="0">N4/0.2567</f>
        <v>3.1869887027658748</v>
      </c>
      <c r="T4">
        <f t="shared" si="0"/>
        <v>102.99883132060772</v>
      </c>
      <c r="U4">
        <f t="shared" si="0"/>
        <v>1.7869107908063888</v>
      </c>
      <c r="V4">
        <f>R4/$J$4</f>
        <v>1.0536293987793794</v>
      </c>
      <c r="W4">
        <f>S4/$J$4</f>
        <v>3.0352273359674997E-2</v>
      </c>
      <c r="X4">
        <f>T4/$J$4</f>
        <v>0.98094125067245452</v>
      </c>
      <c r="Y4">
        <f>U4/$J$4</f>
        <v>1.7018198007679893E-2</v>
      </c>
      <c r="Z4">
        <f>K4/($I$4/1000*$J$4/1000)/60</f>
        <v>15.873015873015872</v>
      </c>
      <c r="AA4">
        <f>L4/($I$4/1000*$J$4/1000)/60</f>
        <v>158.73015873015871</v>
      </c>
      <c r="AB4">
        <f>Z4/($I$4/1000)</f>
        <v>158.73015873015871</v>
      </c>
      <c r="AC4">
        <f>0.043/(1+(0.0115*AB4)^0.64)</f>
        <v>1.7410067959017433E-2</v>
      </c>
      <c r="AD4">
        <v>0.28999999999999998</v>
      </c>
      <c r="AE4">
        <f>AC4/$AD$4</f>
        <v>6.0034717100060114E-2</v>
      </c>
      <c r="AF4">
        <v>3.63</v>
      </c>
      <c r="AG4">
        <f>AC4*(Z4/1000)/($AF$4/1000)</f>
        <v>7.6129555113985892E-2</v>
      </c>
      <c r="AH4">
        <f>$AD$4*(AA4/1000)/($AF$4/1000)</f>
        <v>12.68092177183086</v>
      </c>
      <c r="AI4">
        <f>K4/L4</f>
        <v>0.1</v>
      </c>
      <c r="AJ4">
        <f>1000*(Z4/1000)*($I$4/10^6)/AC4</f>
        <v>9.1171475667873814E-2</v>
      </c>
      <c r="AK4">
        <f>1000*(AA4/1000)*($I$4/10^6)/$AD$4</f>
        <v>5.4734537493158181E-2</v>
      </c>
      <c r="AL4">
        <v>1.15E-2</v>
      </c>
      <c r="AM4">
        <f>$AL$4*AB4</f>
        <v>1.8253968253968251</v>
      </c>
      <c r="AN4">
        <f>AM4/AJ4</f>
        <v>20.021578152870045</v>
      </c>
      <c r="AO4">
        <f>AH4^(-0.6)*AI4^0.57*AM4^0.45</f>
        <v>7.686352310813209E-2</v>
      </c>
      <c r="AP4">
        <f>AH4^(-0.6)*AI4^0.57</f>
        <v>5.8628597599815827E-2</v>
      </c>
      <c r="AQ4">
        <f>(AI4*AM4/AH4)^0.6</f>
        <v>7.8509801713416871E-2</v>
      </c>
      <c r="AR4">
        <f>(AI4/AH4)^(0.6)*AM4^(0.45)</f>
        <v>7.1733213515073155E-2</v>
      </c>
      <c r="AS4">
        <f>AI4/AH4</f>
        <v>7.8858620689655195E-3</v>
      </c>
    </row>
    <row r="5" spans="2:45" x14ac:dyDescent="0.2">
      <c r="B5" t="s">
        <v>6</v>
      </c>
      <c r="C5" t="s">
        <v>7</v>
      </c>
      <c r="D5" t="s">
        <v>8</v>
      </c>
      <c r="E5" t="s">
        <v>9</v>
      </c>
      <c r="F5" t="s">
        <v>10</v>
      </c>
      <c r="K5">
        <v>10</v>
      </c>
      <c r="L5">
        <v>10</v>
      </c>
      <c r="M5">
        <v>170.9863</v>
      </c>
      <c r="N5">
        <v>25.459969999999998</v>
      </c>
      <c r="O5">
        <v>74.413629999999998</v>
      </c>
      <c r="P5">
        <v>3.2366600000000001</v>
      </c>
      <c r="Q5">
        <f>14/1</f>
        <v>14</v>
      </c>
      <c r="R5">
        <f t="shared" ref="R5:R34" si="1">M5/0.2567</f>
        <v>666.09388391118046</v>
      </c>
      <c r="S5">
        <f t="shared" ref="S5:S34" si="2">N5/0.2567</f>
        <v>99.181807557460075</v>
      </c>
      <c r="T5">
        <f t="shared" ref="T5:T34" si="3">O5/0.2567</f>
        <v>289.88558628749513</v>
      </c>
      <c r="U5">
        <f t="shared" ref="U5:U34" si="4">P5/0.2567</f>
        <v>12.608726139462409</v>
      </c>
      <c r="V5">
        <f t="shared" ref="V5:Y34" si="5">R5/$J$4</f>
        <v>6.3437512753445757</v>
      </c>
      <c r="W5">
        <f t="shared" si="5"/>
        <v>0.94458864340438164</v>
      </c>
      <c r="X5">
        <f t="shared" si="5"/>
        <v>2.7608151074999534</v>
      </c>
      <c r="Y5">
        <f t="shared" si="5"/>
        <v>0.12008310609011817</v>
      </c>
      <c r="Z5">
        <f t="shared" ref="Z5:Z34" si="6">K5/($I$4/1000*$J$4/1000)/60</f>
        <v>15.873015873015872</v>
      </c>
      <c r="AA5">
        <f t="shared" ref="AA5:AA34" si="7">L5/($I$4/1000*$J$4/1000)/60</f>
        <v>15.873015873015872</v>
      </c>
      <c r="AB5">
        <f t="shared" ref="AB5:AB34" si="8">Z5/($I$4/1000)</f>
        <v>158.73015873015871</v>
      </c>
      <c r="AC5">
        <f t="shared" ref="AC5:AC34" si="9">0.043/(1+(0.0115*AB5)^0.64)</f>
        <v>1.7410067959017433E-2</v>
      </c>
      <c r="AE5">
        <f t="shared" ref="AE5:AE34" si="10">AC5/$AD$4</f>
        <v>6.0034717100060114E-2</v>
      </c>
      <c r="AG5">
        <f t="shared" ref="AG5:AG34" si="11">AC5*(Z5/1000)/($AF$4/1000)</f>
        <v>7.6129555113985892E-2</v>
      </c>
      <c r="AH5">
        <f t="shared" ref="AH5:AH34" si="12">$AD$4*(AA5/1000)/($AF$4/1000)</f>
        <v>1.2680921771830862</v>
      </c>
      <c r="AI5">
        <f t="shared" ref="AI5:AI34" si="13">K5/L5</f>
        <v>1</v>
      </c>
      <c r="AJ5">
        <f t="shared" ref="AJ5:AJ34" si="14">1000*(Z5/1000)*($I$4/10^6)/AC5</f>
        <v>9.1171475667873814E-2</v>
      </c>
      <c r="AK5">
        <f t="shared" ref="AK5:AK34" si="15">1000*(AA5/1000)*($I$4/10^6)/$AD$4</f>
        <v>5.4734537493158182E-3</v>
      </c>
      <c r="AM5">
        <f t="shared" ref="AM5:AM34" si="16">$AL$4*AB5</f>
        <v>1.8253968253968251</v>
      </c>
      <c r="AN5">
        <f t="shared" ref="AN5:AN34" si="17">AM5/AJ5</f>
        <v>20.021578152870045</v>
      </c>
      <c r="AO5">
        <f t="shared" ref="AO5:AO34" si="18">AH5^(-0.6)*AI5^0.57*AM5^0.45</f>
        <v>1.1368948177339895</v>
      </c>
      <c r="AP5">
        <f t="shared" ref="AP5:AP34" si="19">AH5^(-0.6)*AI5^0.57</f>
        <v>0.86718050496425969</v>
      </c>
      <c r="AQ5">
        <f t="shared" ref="AQ5:AQ35" si="20">(AI5*AM5/AH5)^0.6</f>
        <v>1.2442965027706627</v>
      </c>
      <c r="AR5">
        <f t="shared" ref="AR5:AR34" si="21">(AI5/AH5)^(0.6)*AM5^(0.45)</f>
        <v>1.1368948177339895</v>
      </c>
      <c r="AS5">
        <f t="shared" ref="AS5:AS34" si="22">AI5/AH5</f>
        <v>0.78858620689655179</v>
      </c>
    </row>
    <row r="6" spans="2:45" x14ac:dyDescent="0.2">
      <c r="B6" s="5" t="s">
        <v>48</v>
      </c>
      <c r="C6" t="s">
        <v>49</v>
      </c>
      <c r="D6" t="s">
        <v>50</v>
      </c>
      <c r="E6" t="s">
        <v>51</v>
      </c>
      <c r="F6" t="s">
        <v>52</v>
      </c>
      <c r="K6">
        <v>10</v>
      </c>
      <c r="L6">
        <v>20</v>
      </c>
      <c r="M6">
        <v>84.808099999999996</v>
      </c>
      <c r="N6">
        <v>22.692799999999998</v>
      </c>
      <c r="O6">
        <v>61.227600000000002</v>
      </c>
      <c r="P6">
        <v>10.726800000000001</v>
      </c>
      <c r="Q6">
        <f>34/(250/250)</f>
        <v>34</v>
      </c>
      <c r="R6">
        <f t="shared" si="1"/>
        <v>330.37826256330345</v>
      </c>
      <c r="S6">
        <f t="shared" si="2"/>
        <v>88.402025710946631</v>
      </c>
      <c r="T6">
        <f t="shared" si="3"/>
        <v>238.51811453058048</v>
      </c>
      <c r="U6">
        <f t="shared" si="4"/>
        <v>41.787300350603822</v>
      </c>
      <c r="V6">
        <f t="shared" si="5"/>
        <v>3.1464596434600329</v>
      </c>
      <c r="W6">
        <f t="shared" si="5"/>
        <v>0.84192405438996787</v>
      </c>
      <c r="X6">
        <f t="shared" si="5"/>
        <v>2.2716010907674331</v>
      </c>
      <c r="Y6">
        <f t="shared" si="5"/>
        <v>0.39797428905336973</v>
      </c>
      <c r="Z6">
        <f t="shared" si="6"/>
        <v>15.873015873015872</v>
      </c>
      <c r="AA6">
        <f t="shared" si="7"/>
        <v>31.746031746031743</v>
      </c>
      <c r="AB6">
        <f t="shared" si="8"/>
        <v>158.73015873015871</v>
      </c>
      <c r="AC6">
        <f t="shared" si="9"/>
        <v>1.7410067959017433E-2</v>
      </c>
      <c r="AE6">
        <f t="shared" si="10"/>
        <v>6.0034717100060114E-2</v>
      </c>
      <c r="AG6">
        <f t="shared" si="11"/>
        <v>7.6129555113985892E-2</v>
      </c>
      <c r="AH6">
        <f t="shared" si="12"/>
        <v>2.5361843543661724</v>
      </c>
      <c r="AI6">
        <f t="shared" si="13"/>
        <v>0.5</v>
      </c>
      <c r="AJ6">
        <f t="shared" si="14"/>
        <v>9.1171475667873814E-2</v>
      </c>
      <c r="AK6">
        <f t="shared" si="15"/>
        <v>1.0946907498631636E-2</v>
      </c>
      <c r="AM6">
        <f t="shared" si="16"/>
        <v>1.8253968253968251</v>
      </c>
      <c r="AN6">
        <f t="shared" si="17"/>
        <v>20.021578152870045</v>
      </c>
      <c r="AO6">
        <f t="shared" si="18"/>
        <v>0.50526031899952917</v>
      </c>
      <c r="AP6">
        <f t="shared" si="19"/>
        <v>0.38539352254390641</v>
      </c>
      <c r="AQ6">
        <f t="shared" si="20"/>
        <v>0.54161151069719893</v>
      </c>
      <c r="AR6">
        <f t="shared" si="21"/>
        <v>0.49486221199338448</v>
      </c>
      <c r="AS6">
        <f t="shared" si="22"/>
        <v>0.19714655172413795</v>
      </c>
    </row>
    <row r="7" spans="2:45" x14ac:dyDescent="0.2">
      <c r="B7">
        <v>1000</v>
      </c>
      <c r="C7">
        <v>7.8513999999999999</v>
      </c>
      <c r="D7">
        <v>7.8472999999999998E-3</v>
      </c>
      <c r="E7">
        <v>20.87</v>
      </c>
      <c r="F7">
        <v>256.95999999999998</v>
      </c>
      <c r="K7">
        <v>10</v>
      </c>
      <c r="L7">
        <v>30</v>
      </c>
      <c r="M7">
        <v>63.539299999999997</v>
      </c>
      <c r="N7">
        <v>2.9843000000000002</v>
      </c>
      <c r="O7">
        <v>57.307099999999998</v>
      </c>
      <c r="P7">
        <v>2.8605999999999998</v>
      </c>
      <c r="Q7">
        <f>31/(250/500)</f>
        <v>62</v>
      </c>
      <c r="R7">
        <f t="shared" si="1"/>
        <v>247.52356836774445</v>
      </c>
      <c r="S7">
        <f t="shared" si="2"/>
        <v>11.625633034670823</v>
      </c>
      <c r="T7">
        <f t="shared" si="3"/>
        <v>223.24542267238022</v>
      </c>
      <c r="U7">
        <f t="shared" si="4"/>
        <v>11.143747565251266</v>
      </c>
      <c r="V7">
        <f t="shared" si="5"/>
        <v>2.3573673177880425</v>
      </c>
      <c r="W7">
        <f t="shared" si="5"/>
        <v>0.1107203146159126</v>
      </c>
      <c r="X7">
        <f t="shared" si="5"/>
        <v>2.1261468825940972</v>
      </c>
      <c r="Y7">
        <f t="shared" si="5"/>
        <v>0.10613092919286919</v>
      </c>
      <c r="Z7">
        <f t="shared" si="6"/>
        <v>15.873015873015872</v>
      </c>
      <c r="AA7">
        <f t="shared" si="7"/>
        <v>47.619047619047613</v>
      </c>
      <c r="AB7">
        <f t="shared" si="8"/>
        <v>158.73015873015871</v>
      </c>
      <c r="AC7">
        <f t="shared" si="9"/>
        <v>1.7410067959017433E-2</v>
      </c>
      <c r="AE7">
        <f t="shared" si="10"/>
        <v>6.0034717100060114E-2</v>
      </c>
      <c r="AG7">
        <f t="shared" si="11"/>
        <v>7.6129555113985892E-2</v>
      </c>
      <c r="AH7">
        <f t="shared" si="12"/>
        <v>3.8042765315492586</v>
      </c>
      <c r="AI7">
        <f t="shared" si="13"/>
        <v>0.33333333333333331</v>
      </c>
      <c r="AJ7">
        <f t="shared" si="14"/>
        <v>9.1171475667873814E-2</v>
      </c>
      <c r="AK7">
        <f t="shared" si="15"/>
        <v>1.6420361247947456E-2</v>
      </c>
      <c r="AM7">
        <f t="shared" si="16"/>
        <v>1.8253968253968251</v>
      </c>
      <c r="AN7">
        <f t="shared" si="17"/>
        <v>20.021578152870045</v>
      </c>
      <c r="AO7">
        <f t="shared" si="18"/>
        <v>0.31440425781765968</v>
      </c>
      <c r="AP7">
        <f t="shared" si="19"/>
        <v>0.23981571452727382</v>
      </c>
      <c r="AQ7">
        <f t="shared" si="20"/>
        <v>0.33294950597563838</v>
      </c>
      <c r="AR7">
        <f t="shared" si="21"/>
        <v>0.30421090718163185</v>
      </c>
      <c r="AS7">
        <f t="shared" si="22"/>
        <v>8.7620689655172418E-2</v>
      </c>
    </row>
    <row r="8" spans="2:45" x14ac:dyDescent="0.2">
      <c r="B8">
        <v>790</v>
      </c>
      <c r="C8">
        <v>6.8917000000000002</v>
      </c>
      <c r="D8">
        <v>8.7192999999999993E-3</v>
      </c>
      <c r="E8">
        <v>20.87</v>
      </c>
      <c r="F8">
        <v>225.55</v>
      </c>
      <c r="K8">
        <v>10</v>
      </c>
      <c r="L8">
        <v>40</v>
      </c>
      <c r="M8">
        <v>57.796999999999997</v>
      </c>
      <c r="N8">
        <v>3.8159000000000001</v>
      </c>
      <c r="O8">
        <v>52.397300000000001</v>
      </c>
      <c r="P8">
        <v>1.8501000000000001</v>
      </c>
      <c r="Q8">
        <f>50/(250/500)</f>
        <v>100</v>
      </c>
      <c r="R8">
        <f t="shared" si="1"/>
        <v>225.15387611998443</v>
      </c>
      <c r="S8">
        <f t="shared" si="2"/>
        <v>14.8652123100896</v>
      </c>
      <c r="T8">
        <f t="shared" si="3"/>
        <v>204.11881573821583</v>
      </c>
      <c r="U8">
        <f t="shared" si="4"/>
        <v>7.2072458122321787</v>
      </c>
      <c r="V8">
        <f t="shared" si="5"/>
        <v>2.1443226297141376</v>
      </c>
      <c r="W8">
        <f t="shared" si="5"/>
        <v>0.14157345057228191</v>
      </c>
      <c r="X8">
        <f t="shared" si="5"/>
        <v>1.9439887213163412</v>
      </c>
      <c r="Y8">
        <f t="shared" si="5"/>
        <v>6.8640436306973127E-2</v>
      </c>
      <c r="Z8">
        <f t="shared" si="6"/>
        <v>15.873015873015872</v>
      </c>
      <c r="AA8">
        <f t="shared" si="7"/>
        <v>63.492063492063487</v>
      </c>
      <c r="AB8">
        <f t="shared" si="8"/>
        <v>158.73015873015871</v>
      </c>
      <c r="AC8">
        <f t="shared" si="9"/>
        <v>1.7410067959017433E-2</v>
      </c>
      <c r="AE8">
        <f t="shared" si="10"/>
        <v>6.0034717100060114E-2</v>
      </c>
      <c r="AG8">
        <f t="shared" si="11"/>
        <v>7.6129555113985892E-2</v>
      </c>
      <c r="AH8">
        <f t="shared" si="12"/>
        <v>5.0723687087323448</v>
      </c>
      <c r="AI8">
        <f t="shared" si="13"/>
        <v>0.25</v>
      </c>
      <c r="AJ8">
        <f t="shared" si="14"/>
        <v>9.1171475667873814E-2</v>
      </c>
      <c r="AK8">
        <f t="shared" si="15"/>
        <v>2.1893814997263273E-2</v>
      </c>
      <c r="AM8">
        <f t="shared" si="16"/>
        <v>1.8253968253968251</v>
      </c>
      <c r="AN8">
        <f t="shared" si="17"/>
        <v>20.021578152870045</v>
      </c>
      <c r="AO8">
        <f t="shared" si="18"/>
        <v>0.22454846831330905</v>
      </c>
      <c r="AP8">
        <f t="shared" si="19"/>
        <v>0.1712771059410774</v>
      </c>
      <c r="AQ8">
        <f t="shared" si="20"/>
        <v>0.23575010286255565</v>
      </c>
      <c r="AR8">
        <f t="shared" si="21"/>
        <v>0.21540128870240347</v>
      </c>
      <c r="AS8">
        <f t="shared" si="22"/>
        <v>4.9286637931034487E-2</v>
      </c>
    </row>
    <row r="9" spans="2:45" x14ac:dyDescent="0.2">
      <c r="B9">
        <v>628</v>
      </c>
      <c r="C9">
        <v>6.0467000000000004</v>
      </c>
      <c r="D9">
        <v>9.6329999999999992E-3</v>
      </c>
      <c r="E9">
        <v>20.86</v>
      </c>
      <c r="F9">
        <v>197.9</v>
      </c>
      <c r="K9">
        <v>10</v>
      </c>
      <c r="L9">
        <v>50</v>
      </c>
      <c r="M9">
        <v>48.011000000000003</v>
      </c>
      <c r="N9">
        <v>0.9869</v>
      </c>
      <c r="O9">
        <v>44.6496</v>
      </c>
      <c r="P9">
        <v>0.8649</v>
      </c>
      <c r="Q9">
        <f>30/(250/1000)</f>
        <v>120</v>
      </c>
      <c r="R9">
        <f t="shared" si="1"/>
        <v>187.03155434359175</v>
      </c>
      <c r="S9">
        <f t="shared" si="2"/>
        <v>3.8445656408258668</v>
      </c>
      <c r="T9">
        <f t="shared" si="3"/>
        <v>173.93689131281653</v>
      </c>
      <c r="U9">
        <f t="shared" si="4"/>
        <v>3.3693026879626027</v>
      </c>
      <c r="V9">
        <f t="shared" si="5"/>
        <v>1.7812528985103977</v>
      </c>
      <c r="W9">
        <f t="shared" si="5"/>
        <v>3.6614910865008253E-2</v>
      </c>
      <c r="X9">
        <f t="shared" si="5"/>
        <v>1.656541822026824</v>
      </c>
      <c r="Y9">
        <f t="shared" si="5"/>
        <v>3.2088597028215267E-2</v>
      </c>
      <c r="Z9">
        <f t="shared" si="6"/>
        <v>15.873015873015872</v>
      </c>
      <c r="AA9">
        <f t="shared" si="7"/>
        <v>79.365079365079353</v>
      </c>
      <c r="AB9">
        <f t="shared" si="8"/>
        <v>158.73015873015871</v>
      </c>
      <c r="AC9">
        <f t="shared" si="9"/>
        <v>1.7410067959017433E-2</v>
      </c>
      <c r="AE9">
        <f t="shared" si="10"/>
        <v>6.0034717100060114E-2</v>
      </c>
      <c r="AG9">
        <f t="shared" si="11"/>
        <v>7.6129555113985892E-2</v>
      </c>
      <c r="AH9">
        <f t="shared" si="12"/>
        <v>6.3404608859154301</v>
      </c>
      <c r="AI9">
        <f t="shared" si="13"/>
        <v>0.2</v>
      </c>
      <c r="AJ9">
        <f t="shared" si="14"/>
        <v>9.1171475667873814E-2</v>
      </c>
      <c r="AK9">
        <f t="shared" si="15"/>
        <v>2.736726874657909E-2</v>
      </c>
      <c r="AM9">
        <f t="shared" si="16"/>
        <v>1.8253968253968251</v>
      </c>
      <c r="AN9">
        <f t="shared" si="17"/>
        <v>20.021578152870045</v>
      </c>
      <c r="AO9">
        <f t="shared" si="18"/>
        <v>0.17295191767175669</v>
      </c>
      <c r="AP9">
        <f t="shared" si="19"/>
        <v>0.13192120235015747</v>
      </c>
      <c r="AQ9">
        <f t="shared" si="20"/>
        <v>0.18036816015869075</v>
      </c>
      <c r="AR9">
        <f t="shared" si="21"/>
        <v>0.16479964872683123</v>
      </c>
      <c r="AS9">
        <f t="shared" si="22"/>
        <v>3.1543448275862078E-2</v>
      </c>
    </row>
    <row r="10" spans="2:45" x14ac:dyDescent="0.2">
      <c r="B10">
        <v>499</v>
      </c>
      <c r="C10">
        <v>5.3033000000000001</v>
      </c>
      <c r="D10">
        <v>1.0636E-2</v>
      </c>
      <c r="E10">
        <v>20.86</v>
      </c>
      <c r="F10">
        <v>173.57</v>
      </c>
      <c r="K10">
        <v>10</v>
      </c>
      <c r="L10">
        <v>60</v>
      </c>
      <c r="M10">
        <v>39.0627</v>
      </c>
      <c r="N10">
        <v>1.4139999999999999</v>
      </c>
      <c r="O10">
        <v>36.628799999999998</v>
      </c>
      <c r="P10">
        <v>1.2901</v>
      </c>
      <c r="Q10">
        <f>42/(250/1000)</f>
        <v>168</v>
      </c>
      <c r="R10">
        <f t="shared" si="1"/>
        <v>152.17257499026101</v>
      </c>
      <c r="S10">
        <f t="shared" si="2"/>
        <v>5.5083755356447215</v>
      </c>
      <c r="T10">
        <f t="shared" si="3"/>
        <v>142.69107908063887</v>
      </c>
      <c r="U10">
        <f t="shared" si="4"/>
        <v>5.0257109466303085</v>
      </c>
      <c r="V10">
        <f t="shared" si="5"/>
        <v>1.4492626189548667</v>
      </c>
      <c r="W10">
        <f t="shared" si="5"/>
        <v>5.2460719387092583E-2</v>
      </c>
      <c r="X10">
        <f t="shared" si="5"/>
        <v>1.3589626579108465</v>
      </c>
      <c r="Y10">
        <f t="shared" si="5"/>
        <v>4.7863913777431509E-2</v>
      </c>
      <c r="Z10">
        <f t="shared" si="6"/>
        <v>15.873015873015872</v>
      </c>
      <c r="AA10">
        <f t="shared" si="7"/>
        <v>95.238095238095227</v>
      </c>
      <c r="AB10">
        <f t="shared" si="8"/>
        <v>158.73015873015871</v>
      </c>
      <c r="AC10">
        <f t="shared" si="9"/>
        <v>1.7410067959017433E-2</v>
      </c>
      <c r="AE10">
        <f t="shared" si="10"/>
        <v>6.0034717100060114E-2</v>
      </c>
      <c r="AG10">
        <f t="shared" si="11"/>
        <v>7.6129555113985892E-2</v>
      </c>
      <c r="AH10">
        <f t="shared" si="12"/>
        <v>7.6085530630985172</v>
      </c>
      <c r="AI10">
        <f t="shared" si="13"/>
        <v>0.16666666666666666</v>
      </c>
      <c r="AJ10">
        <f t="shared" si="14"/>
        <v>9.1171475667873814E-2</v>
      </c>
      <c r="AK10">
        <f t="shared" si="15"/>
        <v>3.2840722495894911E-2</v>
      </c>
      <c r="AM10">
        <f t="shared" si="16"/>
        <v>1.8253968253968251</v>
      </c>
      <c r="AN10">
        <f t="shared" si="17"/>
        <v>20.021578152870045</v>
      </c>
      <c r="AO10">
        <f t="shared" si="18"/>
        <v>0.13972796174441718</v>
      </c>
      <c r="AP10">
        <f t="shared" si="19"/>
        <v>0.10657922134314947</v>
      </c>
      <c r="AQ10">
        <f t="shared" si="20"/>
        <v>0.14492468998812913</v>
      </c>
      <c r="AR10">
        <f t="shared" si="21"/>
        <v>0.13241548830389729</v>
      </c>
      <c r="AS10">
        <f t="shared" si="22"/>
        <v>2.1905172413793104E-2</v>
      </c>
    </row>
    <row r="11" spans="2:45" x14ac:dyDescent="0.2">
      <c r="B11">
        <v>396</v>
      </c>
      <c r="C11">
        <v>4.6441999999999997</v>
      </c>
      <c r="D11">
        <v>1.1726E-2</v>
      </c>
      <c r="E11">
        <v>20.86</v>
      </c>
      <c r="F11">
        <v>151.99</v>
      </c>
      <c r="K11">
        <v>10</v>
      </c>
      <c r="L11">
        <v>70</v>
      </c>
      <c r="M11">
        <v>39.753599999999999</v>
      </c>
      <c r="N11">
        <v>2.3771</v>
      </c>
      <c r="O11">
        <v>36.616700000000002</v>
      </c>
      <c r="P11">
        <v>2.4295</v>
      </c>
      <c r="Q11">
        <f>51/(250/1000)</f>
        <v>204</v>
      </c>
      <c r="R11">
        <f t="shared" si="1"/>
        <v>154.86404363069732</v>
      </c>
      <c r="S11">
        <f t="shared" si="2"/>
        <v>9.2602259446825101</v>
      </c>
      <c r="T11">
        <f t="shared" si="3"/>
        <v>142.64394234515001</v>
      </c>
      <c r="U11">
        <f t="shared" si="4"/>
        <v>9.4643552785352565</v>
      </c>
      <c r="V11">
        <f t="shared" si="5"/>
        <v>1.4748956536256888</v>
      </c>
      <c r="W11">
        <f t="shared" si="5"/>
        <v>8.8192628044595336E-2</v>
      </c>
      <c r="X11">
        <f t="shared" si="5"/>
        <v>1.3585137366204763</v>
      </c>
      <c r="Y11">
        <f t="shared" si="5"/>
        <v>9.0136716938431019E-2</v>
      </c>
      <c r="Z11">
        <f t="shared" si="6"/>
        <v>15.873015873015872</v>
      </c>
      <c r="AA11">
        <f t="shared" si="7"/>
        <v>111.1111111111111</v>
      </c>
      <c r="AB11">
        <f t="shared" si="8"/>
        <v>158.73015873015871</v>
      </c>
      <c r="AC11">
        <f t="shared" si="9"/>
        <v>1.7410067959017433E-2</v>
      </c>
      <c r="AE11">
        <f t="shared" si="10"/>
        <v>6.0034717100060114E-2</v>
      </c>
      <c r="AG11">
        <f t="shared" si="11"/>
        <v>7.6129555113985892E-2</v>
      </c>
      <c r="AH11">
        <f t="shared" si="12"/>
        <v>8.8766452402816043</v>
      </c>
      <c r="AI11">
        <f t="shared" si="13"/>
        <v>0.14285714285714285</v>
      </c>
      <c r="AJ11">
        <f t="shared" si="14"/>
        <v>9.1171475667873814E-2</v>
      </c>
      <c r="AK11">
        <f t="shared" si="15"/>
        <v>3.8314176245210725E-2</v>
      </c>
      <c r="AM11">
        <f t="shared" si="16"/>
        <v>1.8253968253968251</v>
      </c>
      <c r="AN11">
        <f t="shared" si="17"/>
        <v>20.021578152870045</v>
      </c>
      <c r="AO11">
        <f t="shared" si="18"/>
        <v>0.11666902810229926</v>
      </c>
      <c r="AP11">
        <f t="shared" si="19"/>
        <v>8.8990736104413964E-2</v>
      </c>
      <c r="AQ11">
        <f t="shared" si="20"/>
        <v>0.12044984139763609</v>
      </c>
      <c r="AR11">
        <f t="shared" si="21"/>
        <v>0.11005319084071456</v>
      </c>
      <c r="AS11">
        <f t="shared" si="22"/>
        <v>1.6093596059113299E-2</v>
      </c>
    </row>
    <row r="12" spans="2:45" x14ac:dyDescent="0.2">
      <c r="B12">
        <v>315</v>
      </c>
      <c r="C12">
        <v>4.0597000000000003</v>
      </c>
      <c r="D12">
        <v>1.2904000000000001E-2</v>
      </c>
      <c r="E12">
        <v>20.86</v>
      </c>
      <c r="F12">
        <v>132.87</v>
      </c>
      <c r="K12">
        <v>10</v>
      </c>
      <c r="L12">
        <v>80</v>
      </c>
      <c r="M12">
        <v>37.3035</v>
      </c>
      <c r="N12">
        <v>1.0310999999999999</v>
      </c>
      <c r="O12">
        <v>34.716299999999997</v>
      </c>
      <c r="P12">
        <v>0.90590000000000004</v>
      </c>
      <c r="Q12">
        <f>32/(250/2000)</f>
        <v>256</v>
      </c>
      <c r="R12">
        <f t="shared" si="1"/>
        <v>145.31943903389171</v>
      </c>
      <c r="S12">
        <f t="shared" si="2"/>
        <v>4.016751071289443</v>
      </c>
      <c r="T12">
        <f t="shared" si="3"/>
        <v>135.24074795481107</v>
      </c>
      <c r="U12">
        <f t="shared" si="4"/>
        <v>3.5290222049084536</v>
      </c>
      <c r="V12">
        <f t="shared" si="5"/>
        <v>1.3839946574656354</v>
      </c>
      <c r="W12">
        <f t="shared" si="5"/>
        <v>3.8254772107518507E-2</v>
      </c>
      <c r="X12">
        <f t="shared" si="5"/>
        <v>1.288007123379153</v>
      </c>
      <c r="Y12">
        <f t="shared" si="5"/>
        <v>3.3609735284842415E-2</v>
      </c>
      <c r="Z12">
        <f t="shared" si="6"/>
        <v>15.873015873015872</v>
      </c>
      <c r="AA12">
        <f t="shared" si="7"/>
        <v>126.98412698412697</v>
      </c>
      <c r="AB12">
        <f t="shared" si="8"/>
        <v>158.73015873015871</v>
      </c>
      <c r="AC12">
        <f t="shared" si="9"/>
        <v>1.7410067959017433E-2</v>
      </c>
      <c r="AE12">
        <f t="shared" si="10"/>
        <v>6.0034717100060114E-2</v>
      </c>
      <c r="AG12">
        <f t="shared" si="11"/>
        <v>7.6129555113985892E-2</v>
      </c>
      <c r="AH12">
        <f t="shared" si="12"/>
        <v>10.14473741746469</v>
      </c>
      <c r="AI12">
        <f t="shared" si="13"/>
        <v>0.125</v>
      </c>
      <c r="AJ12">
        <f t="shared" si="14"/>
        <v>9.1171475667873814E-2</v>
      </c>
      <c r="AK12">
        <f t="shared" si="15"/>
        <v>4.3787629994526546E-2</v>
      </c>
      <c r="AM12">
        <f t="shared" si="16"/>
        <v>1.8253968253968251</v>
      </c>
      <c r="AN12">
        <f t="shared" si="17"/>
        <v>20.021578152870045</v>
      </c>
      <c r="AO12">
        <f t="shared" si="18"/>
        <v>9.9794131313724124E-2</v>
      </c>
      <c r="AP12">
        <f t="shared" si="19"/>
        <v>7.6119201033558972E-2</v>
      </c>
      <c r="AQ12">
        <f t="shared" si="20"/>
        <v>0.10261619242205852</v>
      </c>
      <c r="AR12">
        <f t="shared" si="21"/>
        <v>9.3758856607294216E-2</v>
      </c>
      <c r="AS12">
        <f t="shared" si="22"/>
        <v>1.2321659482758622E-2</v>
      </c>
    </row>
    <row r="13" spans="2:45" x14ac:dyDescent="0.2">
      <c r="B13">
        <v>250</v>
      </c>
      <c r="C13">
        <v>3.5427</v>
      </c>
      <c r="D13">
        <v>1.4175999999999999E-2</v>
      </c>
      <c r="E13">
        <v>20.86</v>
      </c>
      <c r="F13">
        <v>115.94</v>
      </c>
      <c r="K13">
        <v>10</v>
      </c>
      <c r="L13">
        <v>90</v>
      </c>
      <c r="M13">
        <v>37.341299999999997</v>
      </c>
      <c r="N13">
        <v>0.47149999999999997</v>
      </c>
      <c r="O13">
        <v>34.521799999999999</v>
      </c>
      <c r="P13">
        <v>0.36170000000000002</v>
      </c>
      <c r="Q13">
        <f>38/(250/2000)</f>
        <v>304</v>
      </c>
      <c r="R13">
        <f t="shared" si="1"/>
        <v>145.46669263731982</v>
      </c>
      <c r="S13">
        <f t="shared" si="2"/>
        <v>1.8367744448772887</v>
      </c>
      <c r="T13">
        <f t="shared" si="3"/>
        <v>134.48305414881185</v>
      </c>
      <c r="U13">
        <f t="shared" si="4"/>
        <v>1.4090377873003508</v>
      </c>
      <c r="V13">
        <f t="shared" si="5"/>
        <v>1.3853970727363794</v>
      </c>
      <c r="W13">
        <f t="shared" si="5"/>
        <v>1.7493089951212272E-2</v>
      </c>
      <c r="X13">
        <f t="shared" si="5"/>
        <v>1.2807909918934461</v>
      </c>
      <c r="Y13">
        <f t="shared" si="5"/>
        <v>1.3419407498098579E-2</v>
      </c>
      <c r="Z13">
        <f t="shared" si="6"/>
        <v>15.873015873015872</v>
      </c>
      <c r="AA13">
        <f t="shared" si="7"/>
        <v>142.85714285714283</v>
      </c>
      <c r="AB13">
        <f t="shared" si="8"/>
        <v>158.73015873015871</v>
      </c>
      <c r="AC13">
        <f t="shared" si="9"/>
        <v>1.7410067959017433E-2</v>
      </c>
      <c r="AE13">
        <f t="shared" si="10"/>
        <v>6.0034717100060114E-2</v>
      </c>
      <c r="AG13">
        <f t="shared" si="11"/>
        <v>7.6129555113985892E-2</v>
      </c>
      <c r="AH13">
        <f t="shared" si="12"/>
        <v>11.412829594647773</v>
      </c>
      <c r="AI13">
        <f t="shared" si="13"/>
        <v>0.1111111111111111</v>
      </c>
      <c r="AJ13">
        <f t="shared" si="14"/>
        <v>9.1171475667873814E-2</v>
      </c>
      <c r="AK13">
        <f t="shared" si="15"/>
        <v>4.926108374384236E-2</v>
      </c>
      <c r="AM13">
        <f t="shared" si="16"/>
        <v>1.8253968253968251</v>
      </c>
      <c r="AN13">
        <f t="shared" si="17"/>
        <v>20.021578152870045</v>
      </c>
      <c r="AO13">
        <f t="shared" si="18"/>
        <v>8.6947390199998614E-2</v>
      </c>
      <c r="AP13">
        <f t="shared" si="19"/>
        <v>6.6320191246224139E-2</v>
      </c>
      <c r="AQ13">
        <f t="shared" si="20"/>
        <v>8.9090802138060393E-2</v>
      </c>
      <c r="AR13">
        <f t="shared" si="21"/>
        <v>8.1400912911826565E-2</v>
      </c>
      <c r="AS13">
        <f t="shared" si="22"/>
        <v>9.7356321839080478E-3</v>
      </c>
    </row>
    <row r="14" spans="2:45" x14ac:dyDescent="0.2">
      <c r="B14">
        <v>199</v>
      </c>
      <c r="C14">
        <v>3.0863999999999998</v>
      </c>
      <c r="D14">
        <v>1.5547999999999999E-2</v>
      </c>
      <c r="E14">
        <v>20.86</v>
      </c>
      <c r="F14">
        <v>101.01</v>
      </c>
      <c r="K14">
        <v>10</v>
      </c>
      <c r="L14">
        <v>100</v>
      </c>
      <c r="M14">
        <v>48.202800000000003</v>
      </c>
      <c r="N14">
        <v>1.7016</v>
      </c>
      <c r="O14">
        <v>40.427700000000002</v>
      </c>
      <c r="P14">
        <v>0.70340000000000003</v>
      </c>
      <c r="Q14">
        <f>34/(250/2000)</f>
        <v>272</v>
      </c>
      <c r="R14">
        <f t="shared" si="1"/>
        <v>187.77873003506042</v>
      </c>
      <c r="S14">
        <f t="shared" si="2"/>
        <v>6.6287495130502538</v>
      </c>
      <c r="T14">
        <f t="shared" si="3"/>
        <v>157.49006622516558</v>
      </c>
      <c r="U14">
        <f t="shared" si="4"/>
        <v>2.7401636151149202</v>
      </c>
      <c r="V14">
        <f t="shared" si="5"/>
        <v>1.788368857476766</v>
      </c>
      <c r="W14">
        <f t="shared" si="5"/>
        <v>6.3130947743335747E-2</v>
      </c>
      <c r="X14">
        <f t="shared" si="5"/>
        <v>1.4999053926206245</v>
      </c>
      <c r="Y14">
        <f t="shared" si="5"/>
        <v>2.609679633442781E-2</v>
      </c>
      <c r="Z14">
        <f t="shared" si="6"/>
        <v>15.873015873015872</v>
      </c>
      <c r="AA14">
        <f t="shared" si="7"/>
        <v>158.73015873015871</v>
      </c>
      <c r="AB14">
        <f t="shared" si="8"/>
        <v>158.73015873015871</v>
      </c>
      <c r="AC14">
        <f t="shared" si="9"/>
        <v>1.7410067959017433E-2</v>
      </c>
      <c r="AE14">
        <f t="shared" si="10"/>
        <v>6.0034717100060114E-2</v>
      </c>
      <c r="AG14">
        <f t="shared" si="11"/>
        <v>7.6129555113985892E-2</v>
      </c>
      <c r="AH14">
        <f t="shared" si="12"/>
        <v>12.68092177183086</v>
      </c>
      <c r="AI14">
        <f t="shared" si="13"/>
        <v>0.1</v>
      </c>
      <c r="AJ14">
        <f t="shared" si="14"/>
        <v>9.1171475667873814E-2</v>
      </c>
      <c r="AK14">
        <f t="shared" si="15"/>
        <v>5.4734537493158181E-2</v>
      </c>
      <c r="AM14">
        <f t="shared" si="16"/>
        <v>1.8253968253968251</v>
      </c>
      <c r="AN14">
        <f t="shared" si="17"/>
        <v>20.021578152870045</v>
      </c>
      <c r="AO14">
        <f t="shared" si="18"/>
        <v>7.686352310813209E-2</v>
      </c>
      <c r="AP14">
        <f t="shared" si="19"/>
        <v>5.8628597599815827E-2</v>
      </c>
      <c r="AQ14">
        <f t="shared" si="20"/>
        <v>7.8509801713416871E-2</v>
      </c>
      <c r="AR14">
        <f t="shared" si="21"/>
        <v>7.1733213515073155E-2</v>
      </c>
      <c r="AS14">
        <f t="shared" si="22"/>
        <v>7.8858620689655195E-3</v>
      </c>
    </row>
    <row r="15" spans="2:45" x14ac:dyDescent="0.2">
      <c r="B15">
        <v>158</v>
      </c>
      <c r="C15">
        <v>2.6783999999999999</v>
      </c>
      <c r="D15">
        <v>1.6985E-2</v>
      </c>
      <c r="E15">
        <v>20.86</v>
      </c>
      <c r="F15">
        <v>87.656999999999996</v>
      </c>
      <c r="K15">
        <v>20</v>
      </c>
      <c r="L15">
        <v>20</v>
      </c>
      <c r="M15">
        <v>128.39250000000001</v>
      </c>
      <c r="N15">
        <v>5.6605999999999996</v>
      </c>
      <c r="O15">
        <v>69.079400000000007</v>
      </c>
      <c r="P15">
        <v>4.1788999999999996</v>
      </c>
      <c r="Q15">
        <f>19/(250/500)</f>
        <v>38</v>
      </c>
      <c r="R15">
        <f t="shared" si="1"/>
        <v>500.16556291390737</v>
      </c>
      <c r="S15">
        <f t="shared" si="2"/>
        <v>22.051421893260617</v>
      </c>
      <c r="T15">
        <f t="shared" si="3"/>
        <v>269.10557070510328</v>
      </c>
      <c r="U15">
        <f t="shared" si="4"/>
        <v>16.279314374756524</v>
      </c>
      <c r="V15">
        <f t="shared" si="5"/>
        <v>4.7634815515610223</v>
      </c>
      <c r="W15">
        <f t="shared" si="5"/>
        <v>0.2100135418405773</v>
      </c>
      <c r="X15">
        <f t="shared" si="5"/>
        <v>2.5629101971914596</v>
      </c>
      <c r="Y15">
        <f t="shared" si="5"/>
        <v>0.15504108928339547</v>
      </c>
      <c r="Z15">
        <f t="shared" si="6"/>
        <v>31.746031746031743</v>
      </c>
      <c r="AA15">
        <f t="shared" si="7"/>
        <v>31.746031746031743</v>
      </c>
      <c r="AB15">
        <f t="shared" si="8"/>
        <v>317.46031746031741</v>
      </c>
      <c r="AC15">
        <f t="shared" si="9"/>
        <v>1.3067973762481314E-2</v>
      </c>
      <c r="AE15">
        <f t="shared" si="10"/>
        <v>4.506197849131488E-2</v>
      </c>
      <c r="AG15">
        <f t="shared" si="11"/>
        <v>0.11428548482645777</v>
      </c>
      <c r="AH15">
        <f t="shared" si="12"/>
        <v>2.5361843543661724</v>
      </c>
      <c r="AI15">
        <f t="shared" si="13"/>
        <v>1</v>
      </c>
      <c r="AJ15">
        <f t="shared" si="14"/>
        <v>0.24293002360607654</v>
      </c>
      <c r="AK15">
        <f t="shared" si="15"/>
        <v>1.0946907498631636E-2</v>
      </c>
      <c r="AM15">
        <f t="shared" si="16"/>
        <v>3.6507936507936503</v>
      </c>
      <c r="AN15">
        <f t="shared" si="17"/>
        <v>15.028169826853508</v>
      </c>
      <c r="AO15">
        <f t="shared" si="18"/>
        <v>1.0246269804226136</v>
      </c>
      <c r="AP15">
        <f t="shared" si="19"/>
        <v>0.57212576818418692</v>
      </c>
      <c r="AQ15">
        <f t="shared" si="20"/>
        <v>1.2442965027706627</v>
      </c>
      <c r="AR15">
        <f t="shared" si="21"/>
        <v>1.0246269804226136</v>
      </c>
      <c r="AS15">
        <f t="shared" si="22"/>
        <v>0.39429310344827589</v>
      </c>
    </row>
    <row r="16" spans="2:45" x14ac:dyDescent="0.2">
      <c r="B16">
        <v>125</v>
      </c>
      <c r="C16">
        <v>2.3170999999999999</v>
      </c>
      <c r="D16">
        <v>1.8498000000000001E-2</v>
      </c>
      <c r="E16">
        <v>20.86</v>
      </c>
      <c r="F16">
        <v>75.834000000000003</v>
      </c>
      <c r="K16">
        <v>20</v>
      </c>
      <c r="L16">
        <v>40</v>
      </c>
      <c r="R16">
        <f t="shared" si="1"/>
        <v>0</v>
      </c>
      <c r="S16">
        <f t="shared" si="2"/>
        <v>0</v>
      </c>
      <c r="T16">
        <f t="shared" si="3"/>
        <v>0</v>
      </c>
      <c r="U16">
        <f t="shared" si="4"/>
        <v>0</v>
      </c>
      <c r="V16">
        <f t="shared" si="5"/>
        <v>0</v>
      </c>
      <c r="W16">
        <f t="shared" si="5"/>
        <v>0</v>
      </c>
      <c r="X16">
        <f t="shared" si="5"/>
        <v>0</v>
      </c>
      <c r="Y16">
        <f t="shared" si="5"/>
        <v>0</v>
      </c>
      <c r="Z16">
        <f t="shared" si="6"/>
        <v>31.746031746031743</v>
      </c>
      <c r="AA16">
        <f t="shared" si="7"/>
        <v>63.492063492063487</v>
      </c>
      <c r="AB16">
        <f t="shared" si="8"/>
        <v>317.46031746031741</v>
      </c>
      <c r="AC16">
        <f t="shared" si="9"/>
        <v>1.3067973762481314E-2</v>
      </c>
      <c r="AE16">
        <f t="shared" si="10"/>
        <v>4.506197849131488E-2</v>
      </c>
      <c r="AG16">
        <f t="shared" si="11"/>
        <v>0.11428548482645777</v>
      </c>
      <c r="AH16">
        <f t="shared" si="12"/>
        <v>5.0723687087323448</v>
      </c>
      <c r="AI16">
        <f t="shared" si="13"/>
        <v>0.5</v>
      </c>
      <c r="AJ16">
        <f t="shared" si="14"/>
        <v>0.24293002360607654</v>
      </c>
      <c r="AK16">
        <f t="shared" si="15"/>
        <v>2.1893814997263273E-2</v>
      </c>
      <c r="AM16">
        <f t="shared" si="16"/>
        <v>3.6507936507936503</v>
      </c>
      <c r="AN16">
        <f t="shared" si="17"/>
        <v>15.028169826853508</v>
      </c>
      <c r="AO16">
        <f t="shared" si="18"/>
        <v>0.45536609623722124</v>
      </c>
      <c r="AP16">
        <f t="shared" si="19"/>
        <v>0.25426490087865811</v>
      </c>
      <c r="AQ16">
        <f t="shared" si="20"/>
        <v>0.54161151069719893</v>
      </c>
      <c r="AR16">
        <f t="shared" si="21"/>
        <v>0.44599479748765641</v>
      </c>
      <c r="AS16">
        <f t="shared" si="22"/>
        <v>9.8573275862068974E-2</v>
      </c>
    </row>
    <row r="17" spans="2:45" x14ac:dyDescent="0.2">
      <c r="B17">
        <v>99.5</v>
      </c>
      <c r="C17">
        <v>1.9970000000000001</v>
      </c>
      <c r="D17">
        <v>2.0070000000000001E-2</v>
      </c>
      <c r="E17">
        <v>20.86</v>
      </c>
      <c r="F17">
        <v>65.356999999999999</v>
      </c>
      <c r="K17">
        <v>20</v>
      </c>
      <c r="L17">
        <v>60</v>
      </c>
      <c r="M17">
        <v>73.871399999999994</v>
      </c>
      <c r="N17">
        <v>8.7259869999999999</v>
      </c>
      <c r="O17">
        <v>58.375</v>
      </c>
      <c r="P17">
        <v>2.768875</v>
      </c>
      <c r="Q17">
        <f>12/(250/2000)</f>
        <v>96</v>
      </c>
      <c r="R17">
        <f t="shared" si="1"/>
        <v>287.77327619789639</v>
      </c>
      <c r="S17">
        <f t="shared" si="2"/>
        <v>33.992937280872617</v>
      </c>
      <c r="T17">
        <f t="shared" si="3"/>
        <v>227.4055317491235</v>
      </c>
      <c r="U17">
        <f t="shared" si="4"/>
        <v>10.786423841059603</v>
      </c>
      <c r="V17">
        <f t="shared" si="5"/>
        <v>2.7406978685513943</v>
      </c>
      <c r="W17">
        <f t="shared" si="5"/>
        <v>0.32374225981783444</v>
      </c>
      <c r="X17">
        <f t="shared" si="5"/>
        <v>2.1657669690392716</v>
      </c>
      <c r="Y17">
        <f t="shared" si="5"/>
        <v>0.10272784610532956</v>
      </c>
      <c r="Z17">
        <f t="shared" si="6"/>
        <v>31.746031746031743</v>
      </c>
      <c r="AA17">
        <f t="shared" si="7"/>
        <v>95.238095238095227</v>
      </c>
      <c r="AB17">
        <f t="shared" si="8"/>
        <v>317.46031746031741</v>
      </c>
      <c r="AC17">
        <f t="shared" si="9"/>
        <v>1.3067973762481314E-2</v>
      </c>
      <c r="AE17">
        <f t="shared" si="10"/>
        <v>4.506197849131488E-2</v>
      </c>
      <c r="AG17">
        <f t="shared" si="11"/>
        <v>0.11428548482645777</v>
      </c>
      <c r="AH17">
        <f t="shared" si="12"/>
        <v>7.6085530630985172</v>
      </c>
      <c r="AI17">
        <f t="shared" si="13"/>
        <v>0.33333333333333331</v>
      </c>
      <c r="AJ17">
        <f t="shared" si="14"/>
        <v>0.24293002360607654</v>
      </c>
      <c r="AK17">
        <f t="shared" si="15"/>
        <v>3.2840722495894911E-2</v>
      </c>
      <c r="AM17">
        <f t="shared" si="16"/>
        <v>3.6507936507936503</v>
      </c>
      <c r="AN17">
        <f t="shared" si="17"/>
        <v>15.028169826853508</v>
      </c>
      <c r="AO17">
        <f t="shared" si="18"/>
        <v>0.28335698280498056</v>
      </c>
      <c r="AP17">
        <f t="shared" si="19"/>
        <v>0.15821936622319599</v>
      </c>
      <c r="AQ17">
        <f t="shared" si="20"/>
        <v>0.33294950597563838</v>
      </c>
      <c r="AR17">
        <f t="shared" si="21"/>
        <v>0.27417022082870601</v>
      </c>
      <c r="AS17">
        <f t="shared" si="22"/>
        <v>4.3810344827586209E-2</v>
      </c>
    </row>
    <row r="18" spans="2:45" x14ac:dyDescent="0.2">
      <c r="B18">
        <v>79</v>
      </c>
      <c r="C18">
        <v>1.714</v>
      </c>
      <c r="D18">
        <v>2.1683999999999998E-2</v>
      </c>
      <c r="E18">
        <v>20.86</v>
      </c>
      <c r="F18">
        <v>56.094000000000001</v>
      </c>
      <c r="K18">
        <v>20</v>
      </c>
      <c r="L18">
        <v>80</v>
      </c>
      <c r="M18">
        <v>56.833300000000001</v>
      </c>
      <c r="N18">
        <v>7.359801</v>
      </c>
      <c r="O18">
        <v>49.166670000000003</v>
      </c>
      <c r="P18">
        <v>6.7946059999999999</v>
      </c>
      <c r="Q18">
        <f>20/(250/2000)</f>
        <v>160</v>
      </c>
      <c r="R18">
        <f t="shared" si="1"/>
        <v>221.39968835216209</v>
      </c>
      <c r="S18">
        <f t="shared" si="2"/>
        <v>28.670825866770553</v>
      </c>
      <c r="T18">
        <f t="shared" si="3"/>
        <v>191.53358005453839</v>
      </c>
      <c r="U18">
        <f t="shared" si="4"/>
        <v>26.469053369692251</v>
      </c>
      <c r="V18">
        <f t="shared" si="5"/>
        <v>2.1085684604967816</v>
      </c>
      <c r="W18">
        <f t="shared" si="5"/>
        <v>0.27305548444543382</v>
      </c>
      <c r="X18">
        <f t="shared" si="5"/>
        <v>1.8241293338527467</v>
      </c>
      <c r="Y18">
        <f t="shared" si="5"/>
        <v>0.25208622256849761</v>
      </c>
      <c r="Z18">
        <f t="shared" si="6"/>
        <v>31.746031746031743</v>
      </c>
      <c r="AA18">
        <f t="shared" si="7"/>
        <v>126.98412698412697</v>
      </c>
      <c r="AB18">
        <f t="shared" si="8"/>
        <v>317.46031746031741</v>
      </c>
      <c r="AC18">
        <f t="shared" si="9"/>
        <v>1.3067973762481314E-2</v>
      </c>
      <c r="AE18">
        <f t="shared" si="10"/>
        <v>4.506197849131488E-2</v>
      </c>
      <c r="AG18">
        <f t="shared" si="11"/>
        <v>0.11428548482645777</v>
      </c>
      <c r="AH18">
        <f t="shared" si="12"/>
        <v>10.14473741746469</v>
      </c>
      <c r="AI18">
        <f t="shared" si="13"/>
        <v>0.25</v>
      </c>
      <c r="AJ18">
        <f t="shared" si="14"/>
        <v>0.24293002360607654</v>
      </c>
      <c r="AK18">
        <f t="shared" si="15"/>
        <v>4.3787629994526546E-2</v>
      </c>
      <c r="AM18">
        <f t="shared" si="16"/>
        <v>3.6507936507936503</v>
      </c>
      <c r="AN18">
        <f t="shared" si="17"/>
        <v>15.028169826853508</v>
      </c>
      <c r="AO18">
        <f t="shared" si="18"/>
        <v>0.20237441094592307</v>
      </c>
      <c r="AP18">
        <f t="shared" si="19"/>
        <v>0.11300074811176934</v>
      </c>
      <c r="AQ18">
        <f t="shared" si="20"/>
        <v>0.23575010286255565</v>
      </c>
      <c r="AR18">
        <f t="shared" si="21"/>
        <v>0.19413051109001006</v>
      </c>
      <c r="AS18">
        <f t="shared" si="22"/>
        <v>2.4643318965517243E-2</v>
      </c>
    </row>
    <row r="19" spans="2:45" x14ac:dyDescent="0.2">
      <c r="B19">
        <v>62.8</v>
      </c>
      <c r="C19">
        <v>1.4649000000000001</v>
      </c>
      <c r="D19">
        <v>2.3331000000000001E-2</v>
      </c>
      <c r="E19">
        <v>20.86</v>
      </c>
      <c r="F19">
        <v>47.942999999999998</v>
      </c>
      <c r="K19">
        <v>40</v>
      </c>
      <c r="L19">
        <v>100</v>
      </c>
      <c r="M19" s="6"/>
      <c r="N19" s="6"/>
      <c r="O19" s="6"/>
      <c r="P19" s="6"/>
      <c r="Q19" s="6"/>
      <c r="R19">
        <f t="shared" si="1"/>
        <v>0</v>
      </c>
      <c r="S19">
        <f t="shared" si="2"/>
        <v>0</v>
      </c>
      <c r="T19">
        <f t="shared" si="3"/>
        <v>0</v>
      </c>
      <c r="U19">
        <f t="shared" si="4"/>
        <v>0</v>
      </c>
      <c r="V19">
        <f t="shared" si="5"/>
        <v>0</v>
      </c>
      <c r="W19">
        <f t="shared" si="5"/>
        <v>0</v>
      </c>
      <c r="X19">
        <f t="shared" si="5"/>
        <v>0</v>
      </c>
      <c r="Y19">
        <f t="shared" si="5"/>
        <v>0</v>
      </c>
      <c r="Z19">
        <f t="shared" si="6"/>
        <v>63.492063492063487</v>
      </c>
      <c r="AA19">
        <f t="shared" si="7"/>
        <v>158.73015873015871</v>
      </c>
      <c r="AB19">
        <f t="shared" si="8"/>
        <v>634.92063492063482</v>
      </c>
      <c r="AC19">
        <f t="shared" si="9"/>
        <v>9.4105639731969868E-3</v>
      </c>
      <c r="AE19">
        <f t="shared" si="10"/>
        <v>3.2450220597230989E-2</v>
      </c>
      <c r="AG19">
        <f t="shared" si="11"/>
        <v>0.16459948354885628</v>
      </c>
      <c r="AH19">
        <f t="shared" si="12"/>
        <v>12.68092177183086</v>
      </c>
      <c r="AI19">
        <f t="shared" si="13"/>
        <v>0.4</v>
      </c>
      <c r="AJ19">
        <f t="shared" si="14"/>
        <v>0.67468925000563773</v>
      </c>
      <c r="AK19">
        <f t="shared" si="15"/>
        <v>5.4734537493158181E-2</v>
      </c>
      <c r="AM19">
        <f t="shared" si="16"/>
        <v>7.3015873015873005</v>
      </c>
      <c r="AN19">
        <f t="shared" si="17"/>
        <v>10.822148569176534</v>
      </c>
      <c r="AO19">
        <f t="shared" si="18"/>
        <v>0.31609780349187466</v>
      </c>
      <c r="AP19">
        <f t="shared" si="19"/>
        <v>0.12920630326381646</v>
      </c>
      <c r="AQ19">
        <f t="shared" si="20"/>
        <v>0.41437721773625963</v>
      </c>
      <c r="AR19">
        <f t="shared" si="21"/>
        <v>0.30752701851162068</v>
      </c>
      <c r="AS19">
        <f t="shared" si="22"/>
        <v>3.1543448275862078E-2</v>
      </c>
    </row>
    <row r="20" spans="2:45" x14ac:dyDescent="0.2">
      <c r="B20">
        <v>49.9</v>
      </c>
      <c r="C20">
        <v>1.2456</v>
      </c>
      <c r="D20">
        <v>2.4972999999999999E-2</v>
      </c>
      <c r="E20">
        <v>20.86</v>
      </c>
      <c r="F20">
        <v>40.765000000000001</v>
      </c>
      <c r="K20">
        <v>40</v>
      </c>
      <c r="L20">
        <v>200</v>
      </c>
      <c r="M20" s="6"/>
      <c r="N20" s="6"/>
      <c r="O20" s="6"/>
      <c r="P20" s="6"/>
      <c r="Q20" s="6"/>
      <c r="R20">
        <f t="shared" si="1"/>
        <v>0</v>
      </c>
      <c r="S20">
        <f t="shared" si="2"/>
        <v>0</v>
      </c>
      <c r="T20">
        <f t="shared" si="3"/>
        <v>0</v>
      </c>
      <c r="U20">
        <f t="shared" si="4"/>
        <v>0</v>
      </c>
      <c r="V20">
        <f t="shared" si="5"/>
        <v>0</v>
      </c>
      <c r="W20">
        <f t="shared" si="5"/>
        <v>0</v>
      </c>
      <c r="X20">
        <f t="shared" si="5"/>
        <v>0</v>
      </c>
      <c r="Y20">
        <f t="shared" si="5"/>
        <v>0</v>
      </c>
      <c r="Z20">
        <f t="shared" si="6"/>
        <v>63.492063492063487</v>
      </c>
      <c r="AA20">
        <f t="shared" si="7"/>
        <v>317.46031746031741</v>
      </c>
      <c r="AB20">
        <f t="shared" si="8"/>
        <v>634.92063492063482</v>
      </c>
      <c r="AC20">
        <f t="shared" si="9"/>
        <v>9.4105639731969868E-3</v>
      </c>
      <c r="AE20">
        <f t="shared" si="10"/>
        <v>3.2450220597230989E-2</v>
      </c>
      <c r="AG20">
        <f t="shared" si="11"/>
        <v>0.16459948354885628</v>
      </c>
      <c r="AH20">
        <f t="shared" si="12"/>
        <v>25.36184354366172</v>
      </c>
      <c r="AI20">
        <f t="shared" si="13"/>
        <v>0.2</v>
      </c>
      <c r="AJ20">
        <f t="shared" si="14"/>
        <v>0.67468925000563773</v>
      </c>
      <c r="AK20">
        <f t="shared" si="15"/>
        <v>0.10946907498631636</v>
      </c>
      <c r="AM20">
        <f t="shared" si="16"/>
        <v>7.3015873015873005</v>
      </c>
      <c r="AN20">
        <f t="shared" si="17"/>
        <v>10.822148569176534</v>
      </c>
      <c r="AO20">
        <f t="shared" si="18"/>
        <v>0.14048060958329073</v>
      </c>
      <c r="AP20">
        <f t="shared" si="19"/>
        <v>5.7422038508315787E-2</v>
      </c>
      <c r="AQ20">
        <f t="shared" si="20"/>
        <v>0.18036816015869075</v>
      </c>
      <c r="AR20">
        <f t="shared" si="21"/>
        <v>0.13385890959703448</v>
      </c>
      <c r="AS20">
        <f t="shared" si="22"/>
        <v>7.8858620689655195E-3</v>
      </c>
    </row>
    <row r="21" spans="2:45" x14ac:dyDescent="0.2">
      <c r="B21">
        <v>39.6</v>
      </c>
      <c r="C21">
        <v>1.0548</v>
      </c>
      <c r="D21">
        <v>2.6623999999999998E-2</v>
      </c>
      <c r="E21">
        <v>20.86</v>
      </c>
      <c r="F21">
        <v>34.523000000000003</v>
      </c>
      <c r="K21">
        <v>40</v>
      </c>
      <c r="L21">
        <v>40</v>
      </c>
      <c r="M21" s="6"/>
      <c r="N21" s="6"/>
      <c r="O21" s="6"/>
      <c r="P21" s="6"/>
      <c r="Q21" s="6"/>
      <c r="R21">
        <f t="shared" si="1"/>
        <v>0</v>
      </c>
      <c r="S21">
        <f t="shared" si="2"/>
        <v>0</v>
      </c>
      <c r="T21">
        <f t="shared" si="3"/>
        <v>0</v>
      </c>
      <c r="U21">
        <f t="shared" si="4"/>
        <v>0</v>
      </c>
      <c r="V21">
        <f t="shared" si="5"/>
        <v>0</v>
      </c>
      <c r="W21">
        <f t="shared" si="5"/>
        <v>0</v>
      </c>
      <c r="X21">
        <f t="shared" si="5"/>
        <v>0</v>
      </c>
      <c r="Y21">
        <f t="shared" si="5"/>
        <v>0</v>
      </c>
      <c r="Z21">
        <f t="shared" si="6"/>
        <v>63.492063492063487</v>
      </c>
      <c r="AA21">
        <f t="shared" si="7"/>
        <v>63.492063492063487</v>
      </c>
      <c r="AB21">
        <f t="shared" si="8"/>
        <v>634.92063492063482</v>
      </c>
      <c r="AC21">
        <f t="shared" si="9"/>
        <v>9.4105639731969868E-3</v>
      </c>
      <c r="AE21">
        <f t="shared" si="10"/>
        <v>3.2450220597230989E-2</v>
      </c>
      <c r="AG21">
        <f t="shared" si="11"/>
        <v>0.16459948354885628</v>
      </c>
      <c r="AH21">
        <f t="shared" si="12"/>
        <v>5.0723687087323448</v>
      </c>
      <c r="AI21">
        <f t="shared" si="13"/>
        <v>1</v>
      </c>
      <c r="AJ21">
        <f t="shared" si="14"/>
        <v>0.67468925000563773</v>
      </c>
      <c r="AK21">
        <f t="shared" si="15"/>
        <v>2.1893814997263273E-2</v>
      </c>
      <c r="AM21">
        <f t="shared" si="16"/>
        <v>7.3015873015873005</v>
      </c>
      <c r="AN21">
        <f t="shared" si="17"/>
        <v>10.822148569176534</v>
      </c>
      <c r="AO21">
        <f t="shared" si="18"/>
        <v>0.92344554010941837</v>
      </c>
      <c r="AP21">
        <f t="shared" si="19"/>
        <v>0.3774622385380268</v>
      </c>
      <c r="AQ21">
        <f t="shared" si="20"/>
        <v>1.2442965027706627</v>
      </c>
      <c r="AR21">
        <f t="shared" si="21"/>
        <v>0.92344554010941859</v>
      </c>
      <c r="AS21">
        <f t="shared" si="22"/>
        <v>0.19714655172413795</v>
      </c>
    </row>
    <row r="22" spans="2:45" x14ac:dyDescent="0.2">
      <c r="B22">
        <v>31.5</v>
      </c>
      <c r="C22">
        <v>0.89020999999999995</v>
      </c>
      <c r="D22">
        <v>2.8285000000000001E-2</v>
      </c>
      <c r="E22">
        <v>20.86</v>
      </c>
      <c r="F22">
        <v>29.135000000000002</v>
      </c>
      <c r="K22">
        <v>40</v>
      </c>
      <c r="L22">
        <v>60</v>
      </c>
      <c r="M22" s="6"/>
      <c r="N22" s="6"/>
      <c r="O22" s="6"/>
      <c r="P22" s="6"/>
      <c r="Q22" s="6"/>
      <c r="R22">
        <f t="shared" si="1"/>
        <v>0</v>
      </c>
      <c r="S22">
        <f t="shared" si="2"/>
        <v>0</v>
      </c>
      <c r="T22">
        <f t="shared" si="3"/>
        <v>0</v>
      </c>
      <c r="U22">
        <f t="shared" si="4"/>
        <v>0</v>
      </c>
      <c r="V22">
        <f t="shared" si="5"/>
        <v>0</v>
      </c>
      <c r="W22">
        <f t="shared" si="5"/>
        <v>0</v>
      </c>
      <c r="X22">
        <f t="shared" si="5"/>
        <v>0</v>
      </c>
      <c r="Y22">
        <f t="shared" si="5"/>
        <v>0</v>
      </c>
      <c r="Z22">
        <f t="shared" si="6"/>
        <v>63.492063492063487</v>
      </c>
      <c r="AA22">
        <f t="shared" si="7"/>
        <v>95.238095238095227</v>
      </c>
      <c r="AB22">
        <f t="shared" si="8"/>
        <v>634.92063492063482</v>
      </c>
      <c r="AC22">
        <f t="shared" si="9"/>
        <v>9.4105639731969868E-3</v>
      </c>
      <c r="AE22">
        <f t="shared" si="10"/>
        <v>3.2450220597230989E-2</v>
      </c>
      <c r="AG22">
        <f t="shared" si="11"/>
        <v>0.16459948354885628</v>
      </c>
      <c r="AH22">
        <f t="shared" si="12"/>
        <v>7.6085530630985172</v>
      </c>
      <c r="AI22">
        <f t="shared" si="13"/>
        <v>0.66666666666666663</v>
      </c>
      <c r="AJ22">
        <f t="shared" si="14"/>
        <v>0.67468925000563773</v>
      </c>
      <c r="AK22">
        <f t="shared" si="15"/>
        <v>3.2840722495894911E-2</v>
      </c>
      <c r="AM22">
        <f t="shared" si="16"/>
        <v>7.3015873015873005</v>
      </c>
      <c r="AN22">
        <f t="shared" si="17"/>
        <v>10.822148569176534</v>
      </c>
      <c r="AO22">
        <f t="shared" si="18"/>
        <v>0.57462499775962073</v>
      </c>
      <c r="AP22">
        <f t="shared" si="19"/>
        <v>0.23488037848832408</v>
      </c>
      <c r="AQ22">
        <f t="shared" si="20"/>
        <v>0.76491709962258247</v>
      </c>
      <c r="AR22">
        <f t="shared" si="21"/>
        <v>0.56767762557160795</v>
      </c>
      <c r="AS22">
        <f t="shared" si="22"/>
        <v>8.7620689655172418E-2</v>
      </c>
    </row>
    <row r="23" spans="2:45" x14ac:dyDescent="0.2">
      <c r="B23">
        <v>25</v>
      </c>
      <c r="C23">
        <v>0.74412999999999996</v>
      </c>
      <c r="D23">
        <v>2.9763999999999999E-2</v>
      </c>
      <c r="E23">
        <v>20.86</v>
      </c>
      <c r="F23">
        <v>24.353999999999999</v>
      </c>
      <c r="K23">
        <v>40</v>
      </c>
      <c r="L23">
        <v>80</v>
      </c>
      <c r="M23" s="6"/>
      <c r="N23" s="6"/>
      <c r="O23" s="6"/>
      <c r="P23" s="6"/>
      <c r="Q23" s="6"/>
      <c r="R23">
        <f t="shared" si="1"/>
        <v>0</v>
      </c>
      <c r="S23">
        <f t="shared" si="2"/>
        <v>0</v>
      </c>
      <c r="T23">
        <f t="shared" si="3"/>
        <v>0</v>
      </c>
      <c r="U23">
        <f t="shared" si="4"/>
        <v>0</v>
      </c>
      <c r="V23">
        <f t="shared" si="5"/>
        <v>0</v>
      </c>
      <c r="W23">
        <f t="shared" si="5"/>
        <v>0</v>
      </c>
      <c r="X23">
        <f t="shared" si="5"/>
        <v>0</v>
      </c>
      <c r="Y23">
        <f t="shared" si="5"/>
        <v>0</v>
      </c>
      <c r="Z23">
        <f t="shared" si="6"/>
        <v>63.492063492063487</v>
      </c>
      <c r="AA23">
        <f t="shared" si="7"/>
        <v>126.98412698412697</v>
      </c>
      <c r="AB23">
        <f t="shared" si="8"/>
        <v>634.92063492063482</v>
      </c>
      <c r="AC23">
        <f t="shared" si="9"/>
        <v>9.4105639731969868E-3</v>
      </c>
      <c r="AE23">
        <f t="shared" si="10"/>
        <v>3.2450220597230989E-2</v>
      </c>
      <c r="AG23">
        <f t="shared" si="11"/>
        <v>0.16459948354885628</v>
      </c>
      <c r="AH23">
        <f t="shared" si="12"/>
        <v>10.14473741746469</v>
      </c>
      <c r="AI23">
        <f t="shared" si="13"/>
        <v>0.5</v>
      </c>
      <c r="AJ23">
        <f t="shared" si="14"/>
        <v>0.67468925000563773</v>
      </c>
      <c r="AK23">
        <f t="shared" si="15"/>
        <v>4.3787629994526546E-2</v>
      </c>
      <c r="AM23">
        <f t="shared" si="16"/>
        <v>7.3015873015873005</v>
      </c>
      <c r="AN23">
        <f t="shared" si="17"/>
        <v>10.822148569176534</v>
      </c>
      <c r="AO23">
        <f t="shared" si="18"/>
        <v>0.41039890489108344</v>
      </c>
      <c r="AP23">
        <f t="shared" si="19"/>
        <v>0.16775227407063759</v>
      </c>
      <c r="AQ23">
        <f t="shared" si="20"/>
        <v>0.54161151069719893</v>
      </c>
      <c r="AR23">
        <f t="shared" si="21"/>
        <v>0.40195301755777396</v>
      </c>
      <c r="AS23">
        <f t="shared" si="22"/>
        <v>4.9286637931034487E-2</v>
      </c>
    </row>
    <row r="24" spans="2:45" x14ac:dyDescent="0.2">
      <c r="B24">
        <v>19.899999999999999</v>
      </c>
      <c r="C24">
        <v>0.62002000000000002</v>
      </c>
      <c r="D24">
        <v>3.1219E-2</v>
      </c>
      <c r="E24">
        <v>20.86</v>
      </c>
      <c r="F24">
        <v>20.292000000000002</v>
      </c>
      <c r="K24">
        <v>5</v>
      </c>
      <c r="L24">
        <v>100</v>
      </c>
      <c r="M24">
        <v>18.9512</v>
      </c>
      <c r="N24">
        <v>0.68340000000000001</v>
      </c>
      <c r="O24">
        <v>18.218699999999998</v>
      </c>
      <c r="P24">
        <v>0.81599999999999995</v>
      </c>
      <c r="Q24">
        <f>87/(250/250)</f>
        <v>87</v>
      </c>
      <c r="R24">
        <f t="shared" si="1"/>
        <v>73.826256330346709</v>
      </c>
      <c r="S24">
        <f t="shared" si="2"/>
        <v>2.6622516556291393</v>
      </c>
      <c r="T24">
        <f t="shared" si="3"/>
        <v>70.972730814179968</v>
      </c>
      <c r="U24">
        <f t="shared" si="4"/>
        <v>3.1788079470198674</v>
      </c>
      <c r="V24">
        <f t="shared" si="5"/>
        <v>0.70310720314615915</v>
      </c>
      <c r="W24">
        <f t="shared" si="5"/>
        <v>2.5354777672658469E-2</v>
      </c>
      <c r="X24">
        <f t="shared" si="5"/>
        <v>0.67593076965885679</v>
      </c>
      <c r="Y24">
        <f t="shared" si="5"/>
        <v>3.0274361400189211E-2</v>
      </c>
      <c r="Z24">
        <f t="shared" si="6"/>
        <v>7.9365079365079358</v>
      </c>
      <c r="AA24">
        <f t="shared" si="7"/>
        <v>158.73015873015871</v>
      </c>
      <c r="AB24">
        <f t="shared" si="8"/>
        <v>79.365079365079353</v>
      </c>
      <c r="AC24">
        <f t="shared" si="9"/>
        <v>2.2128307522765209E-2</v>
      </c>
      <c r="AE24">
        <f t="shared" si="10"/>
        <v>7.6304508699190379E-2</v>
      </c>
      <c r="AG24">
        <f t="shared" si="11"/>
        <v>4.8380575282621033E-2</v>
      </c>
      <c r="AH24">
        <f t="shared" si="12"/>
        <v>12.68092177183086</v>
      </c>
      <c r="AI24">
        <f t="shared" si="13"/>
        <v>0.05</v>
      </c>
      <c r="AJ24">
        <f t="shared" si="14"/>
        <v>3.5865860632779974E-2</v>
      </c>
      <c r="AK24">
        <f t="shared" si="15"/>
        <v>5.4734537493158181E-2</v>
      </c>
      <c r="AM24">
        <f t="shared" si="16"/>
        <v>0.91269841269841256</v>
      </c>
      <c r="AN24">
        <f t="shared" si="17"/>
        <v>25.447553651179987</v>
      </c>
      <c r="AO24">
        <f t="shared" si="18"/>
        <v>3.7902660135910454E-2</v>
      </c>
      <c r="AP24">
        <f t="shared" si="19"/>
        <v>3.9493207625509549E-2</v>
      </c>
      <c r="AQ24">
        <f t="shared" si="20"/>
        <v>3.4173376052941032E-2</v>
      </c>
      <c r="AR24">
        <f t="shared" si="21"/>
        <v>3.4644858462365931E-2</v>
      </c>
      <c r="AS24">
        <f t="shared" si="22"/>
        <v>3.9429310344827597E-3</v>
      </c>
    </row>
    <row r="25" spans="2:45" x14ac:dyDescent="0.2">
      <c r="B25">
        <v>15.8</v>
      </c>
      <c r="C25">
        <v>0.51351000000000002</v>
      </c>
      <c r="D25">
        <v>3.2549000000000002E-2</v>
      </c>
      <c r="E25">
        <v>20.86</v>
      </c>
      <c r="F25">
        <v>16.806000000000001</v>
      </c>
      <c r="K25">
        <v>5</v>
      </c>
      <c r="L25">
        <v>10</v>
      </c>
      <c r="M25">
        <v>74.422499999999999</v>
      </c>
      <c r="N25">
        <v>3.8794</v>
      </c>
      <c r="O25">
        <v>57.313600000000001</v>
      </c>
      <c r="P25">
        <v>11.014200000000001</v>
      </c>
      <c r="Q25">
        <f>19/(250/250)</f>
        <v>19</v>
      </c>
      <c r="R25">
        <f t="shared" si="1"/>
        <v>289.92014024152706</v>
      </c>
      <c r="S25">
        <f t="shared" si="2"/>
        <v>15.112582781456954</v>
      </c>
      <c r="T25">
        <f t="shared" si="3"/>
        <v>223.27074405921311</v>
      </c>
      <c r="U25">
        <f t="shared" si="4"/>
        <v>42.906895208414497</v>
      </c>
      <c r="V25">
        <f t="shared" si="5"/>
        <v>2.7611441927764484</v>
      </c>
      <c r="W25">
        <f t="shared" si="5"/>
        <v>0.14392935982339955</v>
      </c>
      <c r="X25">
        <f t="shared" si="5"/>
        <v>2.1263880386591727</v>
      </c>
      <c r="Y25">
        <f t="shared" si="5"/>
        <v>0.40863709722299518</v>
      </c>
      <c r="Z25">
        <f t="shared" si="6"/>
        <v>7.9365079365079358</v>
      </c>
      <c r="AA25">
        <f t="shared" si="7"/>
        <v>15.873015873015872</v>
      </c>
      <c r="AB25">
        <f t="shared" si="8"/>
        <v>79.365079365079353</v>
      </c>
      <c r="AC25">
        <f t="shared" si="9"/>
        <v>2.2128307522765209E-2</v>
      </c>
      <c r="AE25">
        <f t="shared" si="10"/>
        <v>7.6304508699190379E-2</v>
      </c>
      <c r="AG25">
        <f t="shared" si="11"/>
        <v>4.8380575282621033E-2</v>
      </c>
      <c r="AH25">
        <f t="shared" si="12"/>
        <v>1.2680921771830862</v>
      </c>
      <c r="AI25">
        <f t="shared" si="13"/>
        <v>0.5</v>
      </c>
      <c r="AJ25">
        <f t="shared" si="14"/>
        <v>3.5865860632779974E-2</v>
      </c>
      <c r="AK25">
        <f t="shared" si="15"/>
        <v>5.4734537493158182E-3</v>
      </c>
      <c r="AM25">
        <f t="shared" si="16"/>
        <v>0.91269841269841256</v>
      </c>
      <c r="AN25">
        <f t="shared" si="17"/>
        <v>25.447553651179987</v>
      </c>
      <c r="AO25">
        <f t="shared" si="18"/>
        <v>0.56062142540913851</v>
      </c>
      <c r="AP25">
        <f t="shared" si="19"/>
        <v>0.58414734674559754</v>
      </c>
      <c r="AQ25">
        <f t="shared" si="20"/>
        <v>0.54161151069719893</v>
      </c>
      <c r="AR25">
        <f t="shared" si="21"/>
        <v>0.54908400330782559</v>
      </c>
      <c r="AS25">
        <f t="shared" si="22"/>
        <v>0.39429310344827589</v>
      </c>
    </row>
    <row r="26" spans="2:45" x14ac:dyDescent="0.2">
      <c r="B26">
        <v>12.5</v>
      </c>
      <c r="C26">
        <v>0.42286000000000001</v>
      </c>
      <c r="D26">
        <v>3.3739999999999999E-2</v>
      </c>
      <c r="E26">
        <v>20.86</v>
      </c>
      <c r="F26">
        <v>13.839</v>
      </c>
      <c r="K26">
        <v>5</v>
      </c>
      <c r="L26">
        <v>20</v>
      </c>
      <c r="M26">
        <v>64.142859999999999</v>
      </c>
      <c r="N26">
        <v>13.66783</v>
      </c>
      <c r="O26">
        <v>57.571429999999999</v>
      </c>
      <c r="P26">
        <v>10.814450000000001</v>
      </c>
      <c r="Q26">
        <f>16/(250/500)</f>
        <v>32</v>
      </c>
      <c r="R26">
        <f t="shared" si="1"/>
        <v>249.87479548110636</v>
      </c>
      <c r="S26">
        <f t="shared" si="2"/>
        <v>53.244370860927155</v>
      </c>
      <c r="T26">
        <f t="shared" si="3"/>
        <v>224.27514608492405</v>
      </c>
      <c r="U26">
        <f t="shared" si="4"/>
        <v>42.128749513050259</v>
      </c>
      <c r="V26">
        <f t="shared" si="5"/>
        <v>2.3797599569629178</v>
      </c>
      <c r="W26">
        <f t="shared" si="5"/>
        <v>0.50708924629454433</v>
      </c>
      <c r="X26">
        <f t="shared" si="5"/>
        <v>2.135953772237372</v>
      </c>
      <c r="Y26">
        <f t="shared" si="5"/>
        <v>0.40122618583857389</v>
      </c>
      <c r="Z26">
        <f t="shared" si="6"/>
        <v>7.9365079365079358</v>
      </c>
      <c r="AA26">
        <f t="shared" si="7"/>
        <v>31.746031746031743</v>
      </c>
      <c r="AB26">
        <f t="shared" si="8"/>
        <v>79.365079365079353</v>
      </c>
      <c r="AC26">
        <f t="shared" si="9"/>
        <v>2.2128307522765209E-2</v>
      </c>
      <c r="AE26">
        <f t="shared" si="10"/>
        <v>7.6304508699190379E-2</v>
      </c>
      <c r="AG26">
        <f t="shared" si="11"/>
        <v>4.8380575282621033E-2</v>
      </c>
      <c r="AH26">
        <f t="shared" si="12"/>
        <v>2.5361843543661724</v>
      </c>
      <c r="AI26">
        <f t="shared" si="13"/>
        <v>0.25</v>
      </c>
      <c r="AJ26">
        <f t="shared" si="14"/>
        <v>3.5865860632779974E-2</v>
      </c>
      <c r="AK26">
        <f t="shared" si="15"/>
        <v>1.0946907498631636E-2</v>
      </c>
      <c r="AM26">
        <f t="shared" si="16"/>
        <v>0.91269841269841256</v>
      </c>
      <c r="AN26">
        <f t="shared" si="17"/>
        <v>25.447553651179987</v>
      </c>
      <c r="AO26">
        <f t="shared" si="18"/>
        <v>0.24915212544004156</v>
      </c>
      <c r="AP26">
        <f t="shared" si="19"/>
        <v>0.25960754693884758</v>
      </c>
      <c r="AQ26">
        <f t="shared" si="20"/>
        <v>0.23575010286255565</v>
      </c>
      <c r="AR26">
        <f t="shared" si="21"/>
        <v>0.2390026941882592</v>
      </c>
      <c r="AS26">
        <f t="shared" si="22"/>
        <v>9.8573275862068974E-2</v>
      </c>
    </row>
    <row r="27" spans="2:45" x14ac:dyDescent="0.2">
      <c r="B27">
        <v>9.9600000000000009</v>
      </c>
      <c r="C27">
        <v>0.34748000000000001</v>
      </c>
      <c r="D27">
        <v>3.4904999999999999E-2</v>
      </c>
      <c r="E27">
        <v>20.86</v>
      </c>
      <c r="F27">
        <v>11.372</v>
      </c>
      <c r="K27">
        <v>5</v>
      </c>
      <c r="L27">
        <v>30</v>
      </c>
      <c r="M27">
        <v>47.565800000000003</v>
      </c>
      <c r="N27">
        <v>1.1855</v>
      </c>
      <c r="O27">
        <v>44.903300000000002</v>
      </c>
      <c r="P27">
        <v>3.9819</v>
      </c>
      <c r="Q27">
        <f>32/(250/500)</f>
        <v>64</v>
      </c>
      <c r="R27">
        <f t="shared" si="1"/>
        <v>185.29723412543828</v>
      </c>
      <c r="S27">
        <f t="shared" si="2"/>
        <v>4.618231398519673</v>
      </c>
      <c r="T27">
        <f t="shared" si="3"/>
        <v>174.92520451889368</v>
      </c>
      <c r="U27">
        <f t="shared" si="4"/>
        <v>15.511881573821583</v>
      </c>
      <c r="V27">
        <f t="shared" si="5"/>
        <v>1.7647355630994122</v>
      </c>
      <c r="W27">
        <f t="shared" si="5"/>
        <v>4.3983156176377838E-2</v>
      </c>
      <c r="X27">
        <f t="shared" si="5"/>
        <v>1.6659543287513683</v>
      </c>
      <c r="Y27">
        <f t="shared" si="5"/>
        <v>0.14773220546496746</v>
      </c>
      <c r="Z27">
        <f t="shared" si="6"/>
        <v>7.9365079365079358</v>
      </c>
      <c r="AA27">
        <f t="shared" si="7"/>
        <v>47.619047619047613</v>
      </c>
      <c r="AB27">
        <f t="shared" si="8"/>
        <v>79.365079365079353</v>
      </c>
      <c r="AC27">
        <f t="shared" si="9"/>
        <v>2.2128307522765209E-2</v>
      </c>
      <c r="AE27">
        <f t="shared" si="10"/>
        <v>7.6304508699190379E-2</v>
      </c>
      <c r="AG27">
        <f t="shared" si="11"/>
        <v>4.8380575282621033E-2</v>
      </c>
      <c r="AH27">
        <f t="shared" si="12"/>
        <v>3.8042765315492586</v>
      </c>
      <c r="AI27">
        <f t="shared" si="13"/>
        <v>0.16666666666666666</v>
      </c>
      <c r="AJ27">
        <f t="shared" si="14"/>
        <v>3.5865860632779974E-2</v>
      </c>
      <c r="AK27">
        <f t="shared" si="15"/>
        <v>1.6420361247947456E-2</v>
      </c>
      <c r="AM27">
        <f t="shared" si="16"/>
        <v>0.91269841269841256</v>
      </c>
      <c r="AN27">
        <f t="shared" si="17"/>
        <v>25.447553651179987</v>
      </c>
      <c r="AO27">
        <f t="shared" si="18"/>
        <v>0.15503788074586897</v>
      </c>
      <c r="AP27">
        <f t="shared" si="19"/>
        <v>0.16154389143559023</v>
      </c>
      <c r="AQ27">
        <f t="shared" si="20"/>
        <v>0.14492468998812913</v>
      </c>
      <c r="AR27">
        <f t="shared" si="21"/>
        <v>0.1469241834509612</v>
      </c>
      <c r="AS27">
        <f t="shared" si="22"/>
        <v>4.3810344827586209E-2</v>
      </c>
    </row>
    <row r="28" spans="2:45" x14ac:dyDescent="0.2">
      <c r="B28">
        <v>7.91</v>
      </c>
      <c r="C28">
        <v>0.28349000000000002</v>
      </c>
      <c r="D28">
        <v>3.5847999999999998E-2</v>
      </c>
      <c r="E28">
        <v>20.86</v>
      </c>
      <c r="F28">
        <v>9.2779000000000007</v>
      </c>
      <c r="K28">
        <v>5</v>
      </c>
      <c r="L28">
        <v>40</v>
      </c>
      <c r="M28">
        <v>38.937100000000001</v>
      </c>
      <c r="N28">
        <v>1.6843999999999999</v>
      </c>
      <c r="O28">
        <v>37.551299999999998</v>
      </c>
      <c r="P28">
        <v>1.4886999999999999</v>
      </c>
      <c r="Q28">
        <f>51/(250/500)</f>
        <v>102</v>
      </c>
      <c r="R28">
        <f t="shared" si="1"/>
        <v>151.68328788469032</v>
      </c>
      <c r="S28">
        <f t="shared" si="2"/>
        <v>6.5617452278924819</v>
      </c>
      <c r="T28">
        <f t="shared" si="3"/>
        <v>146.28476821192052</v>
      </c>
      <c r="U28">
        <f t="shared" si="4"/>
        <v>5.7993767043241133</v>
      </c>
      <c r="V28">
        <f t="shared" si="5"/>
        <v>1.4446027417589553</v>
      </c>
      <c r="W28">
        <f t="shared" si="5"/>
        <v>6.2492811694214112E-2</v>
      </c>
      <c r="X28">
        <f t="shared" si="5"/>
        <v>1.3931882686849573</v>
      </c>
      <c r="Y28">
        <f t="shared" si="5"/>
        <v>5.523215908880108E-2</v>
      </c>
      <c r="Z28">
        <f t="shared" si="6"/>
        <v>7.9365079365079358</v>
      </c>
      <c r="AA28">
        <f t="shared" si="7"/>
        <v>63.492063492063487</v>
      </c>
      <c r="AB28">
        <f t="shared" si="8"/>
        <v>79.365079365079353</v>
      </c>
      <c r="AC28">
        <f t="shared" si="9"/>
        <v>2.2128307522765209E-2</v>
      </c>
      <c r="AE28">
        <f t="shared" si="10"/>
        <v>7.6304508699190379E-2</v>
      </c>
      <c r="AG28">
        <f t="shared" si="11"/>
        <v>4.8380575282621033E-2</v>
      </c>
      <c r="AH28">
        <f t="shared" si="12"/>
        <v>5.0723687087323448</v>
      </c>
      <c r="AI28">
        <f t="shared" si="13"/>
        <v>0.125</v>
      </c>
      <c r="AJ28">
        <f t="shared" si="14"/>
        <v>3.5865860632779974E-2</v>
      </c>
      <c r="AK28">
        <f t="shared" si="15"/>
        <v>2.1893814997263273E-2</v>
      </c>
      <c r="AM28">
        <f t="shared" si="16"/>
        <v>0.91269841269841256</v>
      </c>
      <c r="AN28">
        <f t="shared" si="17"/>
        <v>25.447553651179987</v>
      </c>
      <c r="AO28">
        <f t="shared" si="18"/>
        <v>0.11072852159723807</v>
      </c>
      <c r="AP28">
        <f t="shared" si="19"/>
        <v>0.11537513403610075</v>
      </c>
      <c r="AQ28">
        <f t="shared" si="20"/>
        <v>0.10261619242205852</v>
      </c>
      <c r="AR28">
        <f t="shared" si="21"/>
        <v>0.10403196502744018</v>
      </c>
      <c r="AS28">
        <f t="shared" si="22"/>
        <v>2.4643318965517243E-2</v>
      </c>
    </row>
    <row r="29" spans="2:45" x14ac:dyDescent="0.2">
      <c r="B29">
        <v>6.3</v>
      </c>
      <c r="C29">
        <v>0.23282</v>
      </c>
      <c r="D29">
        <v>3.6981E-2</v>
      </c>
      <c r="E29">
        <v>20.86</v>
      </c>
      <c r="F29">
        <v>7.6196999999999999</v>
      </c>
      <c r="K29">
        <v>5</v>
      </c>
      <c r="L29">
        <v>50</v>
      </c>
      <c r="M29">
        <v>33.842399999999998</v>
      </c>
      <c r="N29">
        <v>1.1773</v>
      </c>
      <c r="O29">
        <v>32.932600000000001</v>
      </c>
      <c r="P29">
        <v>1.0634999999999999</v>
      </c>
      <c r="Q29">
        <f>36/(250/1000)</f>
        <v>144</v>
      </c>
      <c r="R29">
        <f t="shared" si="1"/>
        <v>131.83638488507987</v>
      </c>
      <c r="S29">
        <f t="shared" si="2"/>
        <v>4.5862874951305033</v>
      </c>
      <c r="T29">
        <f t="shared" si="3"/>
        <v>128.29216984807169</v>
      </c>
      <c r="U29">
        <f t="shared" si="4"/>
        <v>4.1429684456564084</v>
      </c>
      <c r="V29">
        <f t="shared" si="5"/>
        <v>1.2555846179531416</v>
      </c>
      <c r="W29">
        <f t="shared" si="5"/>
        <v>4.367892852505241E-2</v>
      </c>
      <c r="X29">
        <f t="shared" si="5"/>
        <v>1.2218301890292542</v>
      </c>
      <c r="Y29">
        <f t="shared" si="5"/>
        <v>3.9456842339584845E-2</v>
      </c>
      <c r="Z29">
        <f t="shared" si="6"/>
        <v>7.9365079365079358</v>
      </c>
      <c r="AA29">
        <f t="shared" si="7"/>
        <v>79.365079365079353</v>
      </c>
      <c r="AB29">
        <f t="shared" si="8"/>
        <v>79.365079365079353</v>
      </c>
      <c r="AC29">
        <f t="shared" si="9"/>
        <v>2.2128307522765209E-2</v>
      </c>
      <c r="AE29">
        <f t="shared" si="10"/>
        <v>7.6304508699190379E-2</v>
      </c>
      <c r="AG29">
        <f t="shared" si="11"/>
        <v>4.8380575282621033E-2</v>
      </c>
      <c r="AH29">
        <f t="shared" si="12"/>
        <v>6.3404608859154301</v>
      </c>
      <c r="AI29">
        <f t="shared" si="13"/>
        <v>0.1</v>
      </c>
      <c r="AJ29">
        <f t="shared" si="14"/>
        <v>3.5865860632779974E-2</v>
      </c>
      <c r="AK29">
        <f t="shared" si="15"/>
        <v>2.736726874657909E-2</v>
      </c>
      <c r="AM29">
        <f t="shared" si="16"/>
        <v>0.91269841269841256</v>
      </c>
      <c r="AN29">
        <f t="shared" si="17"/>
        <v>25.447553651179987</v>
      </c>
      <c r="AO29">
        <f t="shared" si="18"/>
        <v>8.5285418756364709E-2</v>
      </c>
      <c r="AP29">
        <f t="shared" si="19"/>
        <v>8.8864336653312601E-2</v>
      </c>
      <c r="AQ29">
        <f t="shared" si="20"/>
        <v>7.8509801713416871E-2</v>
      </c>
      <c r="AR29">
        <f t="shared" si="21"/>
        <v>7.9592983849649718E-2</v>
      </c>
      <c r="AS29">
        <f t="shared" si="22"/>
        <v>1.5771724137931039E-2</v>
      </c>
    </row>
    <row r="30" spans="2:45" x14ac:dyDescent="0.2">
      <c r="B30">
        <v>5</v>
      </c>
      <c r="C30">
        <v>0.18764</v>
      </c>
      <c r="D30">
        <v>3.7520999999999999E-2</v>
      </c>
      <c r="E30">
        <v>20.86</v>
      </c>
      <c r="F30">
        <v>6.1412000000000004</v>
      </c>
      <c r="K30">
        <v>5</v>
      </c>
      <c r="L30">
        <v>5</v>
      </c>
      <c r="M30">
        <v>186.333</v>
      </c>
      <c r="N30">
        <v>7.9665970000000002</v>
      </c>
      <c r="O30">
        <v>71.833299999999994</v>
      </c>
      <c r="P30">
        <v>0.98319199999999995</v>
      </c>
      <c r="Q30">
        <f>8/(250/250)</f>
        <v>8</v>
      </c>
      <c r="R30">
        <f t="shared" si="1"/>
        <v>725.87845734320217</v>
      </c>
      <c r="S30">
        <f t="shared" si="2"/>
        <v>31.034659135177254</v>
      </c>
      <c r="T30">
        <f t="shared" si="3"/>
        <v>279.83365796649787</v>
      </c>
      <c r="U30">
        <f t="shared" si="4"/>
        <v>3.8301207635372032</v>
      </c>
      <c r="V30">
        <f t="shared" si="5"/>
        <v>6.9131281651733536</v>
      </c>
      <c r="W30">
        <f t="shared" si="5"/>
        <v>0.29556818223978337</v>
      </c>
      <c r="X30">
        <f t="shared" si="5"/>
        <v>2.6650824568237894</v>
      </c>
      <c r="Y30">
        <f t="shared" si="5"/>
        <v>3.6477340605116218E-2</v>
      </c>
      <c r="Z30">
        <f t="shared" si="6"/>
        <v>7.9365079365079358</v>
      </c>
      <c r="AA30">
        <f t="shared" si="7"/>
        <v>7.9365079365079358</v>
      </c>
      <c r="AB30">
        <f t="shared" si="8"/>
        <v>79.365079365079353</v>
      </c>
      <c r="AC30">
        <f t="shared" si="9"/>
        <v>2.2128307522765209E-2</v>
      </c>
      <c r="AE30">
        <f t="shared" si="10"/>
        <v>7.6304508699190379E-2</v>
      </c>
      <c r="AG30">
        <f t="shared" si="11"/>
        <v>4.8380575282621033E-2</v>
      </c>
      <c r="AH30">
        <f t="shared" si="12"/>
        <v>0.6340460885915431</v>
      </c>
      <c r="AI30">
        <f t="shared" si="13"/>
        <v>1</v>
      </c>
      <c r="AJ30">
        <f t="shared" si="14"/>
        <v>3.5865860632779974E-2</v>
      </c>
      <c r="AK30">
        <f t="shared" si="15"/>
        <v>2.7367268746579091E-3</v>
      </c>
      <c r="AM30">
        <f t="shared" si="16"/>
        <v>0.91269841269841256</v>
      </c>
      <c r="AN30">
        <f t="shared" si="17"/>
        <v>25.447553651179987</v>
      </c>
      <c r="AO30">
        <f t="shared" si="18"/>
        <v>1.2614637827097714</v>
      </c>
      <c r="AP30">
        <f t="shared" si="19"/>
        <v>1.3143998575291809</v>
      </c>
      <c r="AQ30">
        <f t="shared" si="20"/>
        <v>1.2442965027706627</v>
      </c>
      <c r="AR30">
        <f t="shared" si="21"/>
        <v>1.2614637827097714</v>
      </c>
      <c r="AS30">
        <f t="shared" si="22"/>
        <v>1.5771724137931036</v>
      </c>
    </row>
    <row r="31" spans="2:45" x14ac:dyDescent="0.2">
      <c r="B31">
        <v>3.97</v>
      </c>
      <c r="C31">
        <v>0.15017</v>
      </c>
      <c r="D31">
        <v>3.7803000000000003E-2</v>
      </c>
      <c r="E31">
        <v>20.86</v>
      </c>
      <c r="F31">
        <v>4.9146000000000001</v>
      </c>
      <c r="K31">
        <v>5</v>
      </c>
      <c r="L31">
        <v>60</v>
      </c>
      <c r="M31">
        <v>36.594099999999997</v>
      </c>
      <c r="N31">
        <v>0.5393</v>
      </c>
      <c r="O31">
        <v>35.193800000000003</v>
      </c>
      <c r="P31">
        <v>0.49640000000000001</v>
      </c>
      <c r="Q31">
        <f>42/(250/1000)</f>
        <v>168</v>
      </c>
      <c r="R31">
        <f t="shared" si="1"/>
        <v>142.55590183093105</v>
      </c>
      <c r="S31">
        <f t="shared" si="2"/>
        <v>2.1008959875340865</v>
      </c>
      <c r="T31">
        <f t="shared" si="3"/>
        <v>137.1008959875341</v>
      </c>
      <c r="U31">
        <f t="shared" si="4"/>
        <v>1.9337748344370862</v>
      </c>
      <c r="V31">
        <f t="shared" si="5"/>
        <v>1.3576752555326768</v>
      </c>
      <c r="W31">
        <f t="shared" si="5"/>
        <v>2.0008533214610349E-2</v>
      </c>
      <c r="X31">
        <f t="shared" si="5"/>
        <v>1.3057228189288963</v>
      </c>
      <c r="Y31">
        <f t="shared" si="5"/>
        <v>1.8416903185115106E-2</v>
      </c>
      <c r="Z31">
        <f t="shared" si="6"/>
        <v>7.9365079365079358</v>
      </c>
      <c r="AA31">
        <f t="shared" si="7"/>
        <v>95.238095238095227</v>
      </c>
      <c r="AB31">
        <f t="shared" si="8"/>
        <v>79.365079365079353</v>
      </c>
      <c r="AC31">
        <f t="shared" si="9"/>
        <v>2.2128307522765209E-2</v>
      </c>
      <c r="AE31">
        <f t="shared" si="10"/>
        <v>7.6304508699190379E-2</v>
      </c>
      <c r="AG31">
        <f t="shared" si="11"/>
        <v>4.8380575282621033E-2</v>
      </c>
      <c r="AH31">
        <f t="shared" si="12"/>
        <v>7.6085530630985172</v>
      </c>
      <c r="AI31">
        <f t="shared" si="13"/>
        <v>8.3333333333333329E-2</v>
      </c>
      <c r="AJ31">
        <f t="shared" si="14"/>
        <v>3.5865860632779974E-2</v>
      </c>
      <c r="AK31">
        <f t="shared" si="15"/>
        <v>3.2840722495894911E-2</v>
      </c>
      <c r="AM31">
        <f t="shared" si="16"/>
        <v>0.91269841269841256</v>
      </c>
      <c r="AN31">
        <f t="shared" si="17"/>
        <v>25.447553651179987</v>
      </c>
      <c r="AO31">
        <f t="shared" si="18"/>
        <v>6.8902142802270583E-2</v>
      </c>
      <c r="AP31">
        <f t="shared" si="19"/>
        <v>7.1793552794845686E-2</v>
      </c>
      <c r="AQ31">
        <f t="shared" si="20"/>
        <v>6.3082135252340993E-2</v>
      </c>
      <c r="AR31">
        <f t="shared" si="21"/>
        <v>6.3952465332528671E-2</v>
      </c>
      <c r="AS31">
        <f t="shared" si="22"/>
        <v>1.0952586206896552E-2</v>
      </c>
    </row>
    <row r="32" spans="2:45" x14ac:dyDescent="0.2">
      <c r="B32">
        <v>3.16</v>
      </c>
      <c r="C32">
        <v>0.12145</v>
      </c>
      <c r="D32">
        <v>3.8487E-2</v>
      </c>
      <c r="E32">
        <v>20.86</v>
      </c>
      <c r="F32">
        <v>3.9746999999999999</v>
      </c>
      <c r="K32">
        <v>5</v>
      </c>
      <c r="L32">
        <v>70</v>
      </c>
      <c r="M32">
        <v>29.1812</v>
      </c>
      <c r="N32">
        <v>0.50829999999999997</v>
      </c>
      <c r="O32">
        <v>28.384699999999999</v>
      </c>
      <c r="P32">
        <v>0.28389999999999999</v>
      </c>
      <c r="Q32">
        <f>69/(250/250)</f>
        <v>69</v>
      </c>
      <c r="R32">
        <f t="shared" si="1"/>
        <v>113.67822360732373</v>
      </c>
      <c r="S32">
        <f t="shared" si="2"/>
        <v>1.9801324503311259</v>
      </c>
      <c r="T32">
        <f t="shared" si="3"/>
        <v>110.5753798208025</v>
      </c>
      <c r="U32">
        <f t="shared" si="4"/>
        <v>1.1059602649006623</v>
      </c>
      <c r="V32">
        <f t="shared" si="5"/>
        <v>1.0826497486411784</v>
      </c>
      <c r="W32">
        <f t="shared" si="5"/>
        <v>1.8858404288867866E-2</v>
      </c>
      <c r="X32">
        <f t="shared" si="5"/>
        <v>1.0530988554362142</v>
      </c>
      <c r="Y32">
        <f t="shared" si="5"/>
        <v>1.0532954903815832E-2</v>
      </c>
      <c r="Z32">
        <f t="shared" si="6"/>
        <v>7.9365079365079358</v>
      </c>
      <c r="AA32">
        <f t="shared" si="7"/>
        <v>111.1111111111111</v>
      </c>
      <c r="AB32">
        <f t="shared" si="8"/>
        <v>79.365079365079353</v>
      </c>
      <c r="AC32">
        <f t="shared" si="9"/>
        <v>2.2128307522765209E-2</v>
      </c>
      <c r="AE32">
        <f t="shared" si="10"/>
        <v>7.6304508699190379E-2</v>
      </c>
      <c r="AG32">
        <f t="shared" si="11"/>
        <v>4.8380575282621033E-2</v>
      </c>
      <c r="AH32">
        <f t="shared" si="12"/>
        <v>8.8766452402816043</v>
      </c>
      <c r="AI32">
        <f t="shared" si="13"/>
        <v>7.1428571428571425E-2</v>
      </c>
      <c r="AJ32">
        <f t="shared" si="14"/>
        <v>3.5865860632779974E-2</v>
      </c>
      <c r="AK32">
        <f t="shared" si="15"/>
        <v>3.8314176245210725E-2</v>
      </c>
      <c r="AM32">
        <f t="shared" si="16"/>
        <v>0.91269841269841256</v>
      </c>
      <c r="AN32">
        <f t="shared" si="17"/>
        <v>25.447553651179987</v>
      </c>
      <c r="AO32">
        <f t="shared" si="18"/>
        <v>5.7531405557971156E-2</v>
      </c>
      <c r="AP32">
        <f t="shared" si="19"/>
        <v>5.9945653854930177E-2</v>
      </c>
      <c r="AQ32">
        <f t="shared" si="20"/>
        <v>5.2428838638820474E-2</v>
      </c>
      <c r="AR32">
        <f t="shared" si="21"/>
        <v>5.3152187573572617E-2</v>
      </c>
      <c r="AS32">
        <f t="shared" si="22"/>
        <v>8.0467980295566496E-3</v>
      </c>
    </row>
    <row r="33" spans="2:45" x14ac:dyDescent="0.2">
      <c r="B33">
        <v>2.5099999999999998</v>
      </c>
      <c r="C33">
        <v>9.7164E-2</v>
      </c>
      <c r="D33">
        <v>3.8767000000000003E-2</v>
      </c>
      <c r="E33">
        <v>20.86</v>
      </c>
      <c r="F33">
        <v>3.1798999999999999</v>
      </c>
      <c r="K33">
        <v>5</v>
      </c>
      <c r="L33">
        <v>80</v>
      </c>
      <c r="M33">
        <v>21.834399999999999</v>
      </c>
      <c r="N33">
        <v>0.86780000000000002</v>
      </c>
      <c r="O33">
        <v>21.2119</v>
      </c>
      <c r="P33">
        <v>0.73809999999999998</v>
      </c>
      <c r="Q33">
        <f>53/(250/2000)</f>
        <v>424</v>
      </c>
      <c r="R33">
        <f t="shared" si="1"/>
        <v>85.058044409816901</v>
      </c>
      <c r="S33">
        <f t="shared" si="2"/>
        <v>3.3805999220880407</v>
      </c>
      <c r="T33">
        <f t="shared" si="3"/>
        <v>82.633034670821971</v>
      </c>
      <c r="U33">
        <f t="shared" si="4"/>
        <v>2.8753408648227503</v>
      </c>
      <c r="V33">
        <f t="shared" si="5"/>
        <v>0.81007661342682757</v>
      </c>
      <c r="W33">
        <f t="shared" si="5"/>
        <v>3.2196189734171814E-2</v>
      </c>
      <c r="X33">
        <f t="shared" si="5"/>
        <v>0.78698128257925681</v>
      </c>
      <c r="Y33">
        <f t="shared" si="5"/>
        <v>2.7384198712597622E-2</v>
      </c>
      <c r="Z33">
        <f t="shared" si="6"/>
        <v>7.9365079365079358</v>
      </c>
      <c r="AA33">
        <f t="shared" si="7"/>
        <v>126.98412698412697</v>
      </c>
      <c r="AB33">
        <f t="shared" si="8"/>
        <v>79.365079365079353</v>
      </c>
      <c r="AC33">
        <f t="shared" si="9"/>
        <v>2.2128307522765209E-2</v>
      </c>
      <c r="AE33">
        <f t="shared" si="10"/>
        <v>7.6304508699190379E-2</v>
      </c>
      <c r="AG33">
        <f t="shared" si="11"/>
        <v>4.8380575282621033E-2</v>
      </c>
      <c r="AH33">
        <f t="shared" si="12"/>
        <v>10.14473741746469</v>
      </c>
      <c r="AI33">
        <f t="shared" si="13"/>
        <v>6.25E-2</v>
      </c>
      <c r="AJ33">
        <f t="shared" si="14"/>
        <v>3.5865860632779974E-2</v>
      </c>
      <c r="AK33">
        <f t="shared" si="15"/>
        <v>4.3787629994526546E-2</v>
      </c>
      <c r="AM33">
        <f t="shared" si="16"/>
        <v>0.91269841269841256</v>
      </c>
      <c r="AN33">
        <f t="shared" si="17"/>
        <v>25.447553651179987</v>
      </c>
      <c r="AO33">
        <f t="shared" si="18"/>
        <v>4.9210118009049772E-2</v>
      </c>
      <c r="AP33">
        <f t="shared" si="19"/>
        <v>5.1275171738300089E-2</v>
      </c>
      <c r="AQ33">
        <f t="shared" si="20"/>
        <v>4.4666292058163248E-2</v>
      </c>
      <c r="AR33">
        <f t="shared" si="21"/>
        <v>4.5282542877720384E-2</v>
      </c>
      <c r="AS33">
        <f t="shared" si="22"/>
        <v>6.1608297413793109E-3</v>
      </c>
    </row>
    <row r="34" spans="2:45" x14ac:dyDescent="0.2">
      <c r="B34">
        <v>1.99</v>
      </c>
      <c r="C34">
        <v>7.7492000000000005E-2</v>
      </c>
      <c r="D34">
        <v>3.8925000000000001E-2</v>
      </c>
      <c r="E34">
        <v>20.86</v>
      </c>
      <c r="F34">
        <v>2.5360999999999998</v>
      </c>
      <c r="K34">
        <v>5</v>
      </c>
      <c r="L34">
        <v>90</v>
      </c>
      <c r="M34">
        <v>24.948699999999999</v>
      </c>
      <c r="N34">
        <v>0.68230000000000002</v>
      </c>
      <c r="O34">
        <v>23.908200000000001</v>
      </c>
      <c r="P34">
        <v>0.80589999999999995</v>
      </c>
      <c r="Q34">
        <f>57/(250/250)</f>
        <v>57</v>
      </c>
      <c r="R34">
        <f t="shared" si="1"/>
        <v>97.190105181145313</v>
      </c>
      <c r="S34">
        <f t="shared" si="2"/>
        <v>2.6579664978574216</v>
      </c>
      <c r="T34">
        <f t="shared" si="3"/>
        <v>93.136735488897557</v>
      </c>
      <c r="U34">
        <f t="shared" si="4"/>
        <v>3.1394624074795483</v>
      </c>
      <c r="V34">
        <f t="shared" si="5"/>
        <v>0.92562004934424102</v>
      </c>
      <c r="W34">
        <f t="shared" si="5"/>
        <v>2.5313966646261159E-2</v>
      </c>
      <c r="X34">
        <f t="shared" si="5"/>
        <v>0.88701652846569101</v>
      </c>
      <c r="Y34">
        <f t="shared" si="5"/>
        <v>2.9899641975995699E-2</v>
      </c>
      <c r="Z34">
        <f t="shared" si="6"/>
        <v>7.9365079365079358</v>
      </c>
      <c r="AA34">
        <f t="shared" si="7"/>
        <v>142.85714285714283</v>
      </c>
      <c r="AB34">
        <f t="shared" si="8"/>
        <v>79.365079365079353</v>
      </c>
      <c r="AC34">
        <f t="shared" si="9"/>
        <v>2.2128307522765209E-2</v>
      </c>
      <c r="AE34">
        <f t="shared" si="10"/>
        <v>7.6304508699190379E-2</v>
      </c>
      <c r="AG34">
        <f t="shared" si="11"/>
        <v>4.8380575282621033E-2</v>
      </c>
      <c r="AH34">
        <f t="shared" si="12"/>
        <v>11.412829594647773</v>
      </c>
      <c r="AI34">
        <f t="shared" si="13"/>
        <v>5.5555555555555552E-2</v>
      </c>
      <c r="AJ34">
        <f t="shared" si="14"/>
        <v>3.5865860632779974E-2</v>
      </c>
      <c r="AK34">
        <f t="shared" si="15"/>
        <v>4.926108374384236E-2</v>
      </c>
      <c r="AM34">
        <f t="shared" si="16"/>
        <v>0.91269841269841256</v>
      </c>
      <c r="AN34">
        <f t="shared" si="17"/>
        <v>25.447553651179987</v>
      </c>
      <c r="AO34">
        <f t="shared" si="18"/>
        <v>4.2875179892791999E-2</v>
      </c>
      <c r="AP34">
        <f t="shared" si="19"/>
        <v>4.4674394235533585E-2</v>
      </c>
      <c r="AQ34">
        <f t="shared" si="20"/>
        <v>3.8779023992896004E-2</v>
      </c>
      <c r="AR34">
        <f t="shared" si="21"/>
        <v>3.9314049494590414E-2</v>
      </c>
      <c r="AS34">
        <f t="shared" si="22"/>
        <v>4.8678160919540239E-3</v>
      </c>
    </row>
    <row r="35" spans="2:45" x14ac:dyDescent="0.2">
      <c r="B35">
        <v>1.58</v>
      </c>
      <c r="C35">
        <v>6.1976999999999997E-2</v>
      </c>
      <c r="D35">
        <v>3.9204999999999997E-2</v>
      </c>
      <c r="E35">
        <v>20.86</v>
      </c>
      <c r="F35">
        <v>2.0284</v>
      </c>
      <c r="AQ35" t="e">
        <f t="shared" si="20"/>
        <v>#DIV/0!</v>
      </c>
    </row>
    <row r="36" spans="2:45" x14ac:dyDescent="0.2">
      <c r="B36">
        <v>1.26</v>
      </c>
      <c r="C36">
        <v>4.9535999999999997E-2</v>
      </c>
      <c r="D36">
        <v>3.9385999999999997E-2</v>
      </c>
      <c r="E36">
        <v>20.86</v>
      </c>
      <c r="F36">
        <v>1.6212</v>
      </c>
    </row>
    <row r="37" spans="2:45" x14ac:dyDescent="0.2">
      <c r="B37">
        <v>0.999</v>
      </c>
      <c r="C37">
        <v>3.9947999999999997E-2</v>
      </c>
      <c r="D37">
        <v>3.9968999999999998E-2</v>
      </c>
      <c r="E37">
        <v>20.86</v>
      </c>
      <c r="F37">
        <v>1.3073999999999999</v>
      </c>
    </row>
    <row r="38" spans="2:45" x14ac:dyDescent="0.2">
      <c r="B38">
        <v>0.79400000000000004</v>
      </c>
      <c r="C38">
        <v>3.1412000000000002E-2</v>
      </c>
      <c r="D38">
        <v>3.9542000000000001E-2</v>
      </c>
      <c r="E38">
        <v>20.86</v>
      </c>
      <c r="F38">
        <v>1.0281</v>
      </c>
    </row>
    <row r="39" spans="2:45" x14ac:dyDescent="0.2">
      <c r="B39">
        <v>0.63100000000000001</v>
      </c>
      <c r="C39">
        <v>2.5173000000000001E-2</v>
      </c>
      <c r="D39">
        <v>3.9903000000000001E-2</v>
      </c>
      <c r="E39">
        <v>20.87</v>
      </c>
      <c r="F39">
        <v>0.82386000000000004</v>
      </c>
    </row>
    <row r="40" spans="2:45" x14ac:dyDescent="0.2">
      <c r="B40">
        <v>0.501</v>
      </c>
      <c r="C40">
        <v>2.2495000000000001E-2</v>
      </c>
      <c r="D40">
        <v>4.4941000000000002E-2</v>
      </c>
      <c r="E40">
        <v>20.87</v>
      </c>
      <c r="F40">
        <v>0.73619999999999997</v>
      </c>
    </row>
    <row r="41" spans="2:45" x14ac:dyDescent="0.2">
      <c r="B41">
        <v>0.39800000000000002</v>
      </c>
      <c r="C41">
        <v>1.5909E-2</v>
      </c>
      <c r="D41">
        <v>3.9995999999999997E-2</v>
      </c>
      <c r="E41">
        <v>20.87</v>
      </c>
      <c r="F41">
        <v>0.52066999999999997</v>
      </c>
    </row>
    <row r="42" spans="2:45" x14ac:dyDescent="0.2">
      <c r="B42">
        <v>0.316</v>
      </c>
      <c r="C42">
        <v>1.2406E-2</v>
      </c>
      <c r="D42">
        <v>3.9213999999999999E-2</v>
      </c>
      <c r="E42">
        <v>20.88</v>
      </c>
      <c r="F42">
        <v>0.40601999999999999</v>
      </c>
    </row>
    <row r="43" spans="2:45" x14ac:dyDescent="0.2">
      <c r="B43">
        <v>0.251</v>
      </c>
      <c r="C43">
        <v>9.9115999999999996E-3</v>
      </c>
      <c r="D43">
        <v>3.9454000000000003E-2</v>
      </c>
      <c r="E43">
        <v>20.9</v>
      </c>
      <c r="F43">
        <v>0.32438</v>
      </c>
    </row>
    <row r="44" spans="2:45" x14ac:dyDescent="0.2">
      <c r="B44">
        <v>0.2</v>
      </c>
      <c r="C44">
        <v>8.3651999999999997E-3</v>
      </c>
      <c r="D44">
        <v>4.1923000000000002E-2</v>
      </c>
      <c r="E44">
        <v>20.91</v>
      </c>
      <c r="F44">
        <v>0.27377000000000001</v>
      </c>
    </row>
    <row r="45" spans="2:45" x14ac:dyDescent="0.2">
      <c r="B45">
        <v>0.158</v>
      </c>
      <c r="C45">
        <v>6.8681999999999997E-3</v>
      </c>
      <c r="D45">
        <v>4.3336E-2</v>
      </c>
      <c r="E45">
        <v>20.94</v>
      </c>
      <c r="F45">
        <v>0.22478000000000001</v>
      </c>
    </row>
    <row r="46" spans="2:45" x14ac:dyDescent="0.2">
      <c r="B46">
        <v>0.126</v>
      </c>
      <c r="C46">
        <v>5.0195999999999999E-3</v>
      </c>
      <c r="D46">
        <v>3.9856000000000003E-2</v>
      </c>
      <c r="E46">
        <v>20.94</v>
      </c>
      <c r="F46">
        <v>0.16428000000000001</v>
      </c>
    </row>
    <row r="47" spans="2:45" x14ac:dyDescent="0.2">
      <c r="B47">
        <v>0.1</v>
      </c>
      <c r="C47">
        <v>4.9278999999999998E-3</v>
      </c>
      <c r="D47">
        <v>4.9273999999999998E-2</v>
      </c>
      <c r="E47">
        <v>20.96</v>
      </c>
      <c r="F47">
        <v>0.16128000000000001</v>
      </c>
    </row>
    <row r="50" spans="2:2" x14ac:dyDescent="0.2">
      <c r="B50" s="3" t="s">
        <v>28</v>
      </c>
    </row>
    <row r="51" spans="2:2" x14ac:dyDescent="0.2">
      <c r="B51" s="3" t="s">
        <v>53</v>
      </c>
    </row>
  </sheetData>
  <mergeCells count="1">
    <mergeCell ref="B2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6118E-F229-EB47-9796-FF9CFF795164}">
  <dimension ref="B2:AS51"/>
  <sheetViews>
    <sheetView workbookViewId="0">
      <selection activeCell="K4" sqref="K4"/>
    </sheetView>
  </sheetViews>
  <sheetFormatPr baseColWidth="10" defaultRowHeight="16" x14ac:dyDescent="0.2"/>
  <cols>
    <col min="2" max="2" width="26.33203125" customWidth="1"/>
    <col min="9" max="9" width="16.5" bestFit="1" customWidth="1"/>
    <col min="16" max="16" width="11.6640625" bestFit="1" customWidth="1"/>
    <col min="17" max="17" width="13.1640625" bestFit="1" customWidth="1"/>
    <col min="25" max="25" width="11.1640625" bestFit="1" customWidth="1"/>
    <col min="28" max="28" width="16.33203125" customWidth="1"/>
    <col min="31" max="31" width="19.33203125" customWidth="1"/>
    <col min="32" max="32" width="23" bestFit="1" customWidth="1"/>
    <col min="41" max="41" width="23.1640625" bestFit="1" customWidth="1"/>
    <col min="42" max="42" width="33.33203125" bestFit="1" customWidth="1"/>
    <col min="43" max="43" width="16" bestFit="1" customWidth="1"/>
    <col min="44" max="44" width="21.6640625" bestFit="1" customWidth="1"/>
  </cols>
  <sheetData>
    <row r="2" spans="2:45" x14ac:dyDescent="0.2">
      <c r="B2" s="8" t="s">
        <v>12</v>
      </c>
      <c r="C2" s="8"/>
      <c r="D2" s="8"/>
      <c r="E2" s="8"/>
      <c r="F2" s="8"/>
      <c r="G2" s="8"/>
    </row>
    <row r="3" spans="2:45" x14ac:dyDescent="0.2"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I3" t="s">
        <v>19</v>
      </c>
      <c r="J3" t="s">
        <v>13</v>
      </c>
      <c r="K3" t="s">
        <v>14</v>
      </c>
      <c r="L3" t="s">
        <v>15</v>
      </c>
      <c r="M3" t="s">
        <v>16</v>
      </c>
      <c r="N3" t="s">
        <v>20</v>
      </c>
      <c r="O3" t="s">
        <v>17</v>
      </c>
      <c r="P3" t="s">
        <v>21</v>
      </c>
      <c r="Q3" t="s">
        <v>27</v>
      </c>
      <c r="R3" t="s">
        <v>18</v>
      </c>
      <c r="S3" t="s">
        <v>22</v>
      </c>
      <c r="T3" t="s">
        <v>23</v>
      </c>
      <c r="U3" t="s">
        <v>24</v>
      </c>
      <c r="V3" s="4" t="s">
        <v>25</v>
      </c>
      <c r="W3" s="4" t="s">
        <v>26</v>
      </c>
      <c r="X3" s="4" t="s">
        <v>38</v>
      </c>
      <c r="Y3" s="4" t="s">
        <v>39</v>
      </c>
      <c r="Z3" t="s">
        <v>32</v>
      </c>
      <c r="AA3" t="s">
        <v>33</v>
      </c>
      <c r="AB3" t="s">
        <v>31</v>
      </c>
      <c r="AC3" t="s">
        <v>29</v>
      </c>
      <c r="AD3" t="s">
        <v>30</v>
      </c>
      <c r="AE3" s="4" t="s">
        <v>34</v>
      </c>
      <c r="AF3" t="s">
        <v>35</v>
      </c>
      <c r="AG3" s="4" t="s">
        <v>37</v>
      </c>
      <c r="AH3" s="4" t="s">
        <v>36</v>
      </c>
      <c r="AI3" s="4" t="s">
        <v>40</v>
      </c>
      <c r="AJ3" s="4" t="s">
        <v>41</v>
      </c>
      <c r="AK3" s="4" t="s">
        <v>42</v>
      </c>
      <c r="AL3" t="s">
        <v>45</v>
      </c>
      <c r="AM3" s="4" t="s">
        <v>43</v>
      </c>
      <c r="AN3" s="4" t="s">
        <v>44</v>
      </c>
      <c r="AO3" s="4" t="s">
        <v>57</v>
      </c>
      <c r="AP3" s="4" t="s">
        <v>58</v>
      </c>
      <c r="AQ3" s="4" t="s">
        <v>59</v>
      </c>
      <c r="AR3" s="4" t="s">
        <v>60</v>
      </c>
      <c r="AS3" s="4" t="s">
        <v>61</v>
      </c>
    </row>
    <row r="4" spans="2:45" x14ac:dyDescent="0.2">
      <c r="I4">
        <v>100</v>
      </c>
      <c r="J4">
        <v>105</v>
      </c>
      <c r="K4">
        <v>10</v>
      </c>
      <c r="L4">
        <v>20</v>
      </c>
      <c r="M4">
        <v>145.7791</v>
      </c>
      <c r="N4">
        <v>12.058400000000001</v>
      </c>
      <c r="O4">
        <v>75.429599999999994</v>
      </c>
      <c r="P4">
        <v>0.1719</v>
      </c>
      <c r="Q4">
        <f>28/(250/500)</f>
        <v>56</v>
      </c>
      <c r="R4">
        <f>M4/0.2567</f>
        <v>567.89676665368142</v>
      </c>
      <c r="S4">
        <f t="shared" ref="S4:U19" si="0">N4/0.2567</f>
        <v>46.974678613167129</v>
      </c>
      <c r="T4">
        <f t="shared" si="0"/>
        <v>293.8433969614336</v>
      </c>
      <c r="U4">
        <f t="shared" si="0"/>
        <v>0.66965329178028832</v>
      </c>
      <c r="V4">
        <f>R4/$J$4</f>
        <v>5.4085406347969656</v>
      </c>
      <c r="W4">
        <f>S4/$J$4</f>
        <v>0.44737789155397267</v>
      </c>
      <c r="X4">
        <f>T4/$J$4</f>
        <v>2.7985085424898437</v>
      </c>
      <c r="Y4">
        <f>U4/$J$4</f>
        <v>6.3776503979075076E-3</v>
      </c>
      <c r="Z4">
        <f>K4/($I$4/1000*$J$4/1000)/60</f>
        <v>15.873015873015872</v>
      </c>
      <c r="AA4">
        <f>L4/($I$4/1000*$J$4/1000)/60</f>
        <v>31.746031746031743</v>
      </c>
      <c r="AB4">
        <f>Z4/($I$4/1000)</f>
        <v>158.73015873015871</v>
      </c>
      <c r="AC4">
        <f>0.125529/(1 + (0.0263514*AB4)^0.696827)</f>
        <v>3.3830586313650129E-2</v>
      </c>
      <c r="AD4">
        <v>0.28999999999999998</v>
      </c>
      <c r="AE4">
        <f>AC4/$AD$4</f>
        <v>0.11665719418500045</v>
      </c>
      <c r="AF4">
        <v>3.63</v>
      </c>
      <c r="AG4">
        <f>AC4*(Z4/1000)/($AF$4/1000)</f>
        <v>0.14793207535812727</v>
      </c>
      <c r="AH4">
        <f>$AD$4*(AA4/1000)/($AF$4/1000)</f>
        <v>2.5361843543661724</v>
      </c>
      <c r="AI4">
        <f>K4/L4</f>
        <v>0.5</v>
      </c>
      <c r="AJ4">
        <f>1000*(Z4/1000)*($I$4/10^6)/AC4</f>
        <v>4.6919127341908798E-2</v>
      </c>
      <c r="AK4">
        <f>1000*(AA4/1000)*($I$4/10^6)/$AD$4</f>
        <v>1.0946907498631636E-2</v>
      </c>
      <c r="AL4">
        <v>2.6351400000000001E-2</v>
      </c>
      <c r="AM4">
        <f>$AL$4*AB4</f>
        <v>4.1827619047619038</v>
      </c>
      <c r="AN4">
        <f>AM4/AJ4</f>
        <v>89.148331218551974</v>
      </c>
      <c r="AO4">
        <f>AH4^(-0.6)*AI4^0.57*AM4^0.45</f>
        <v>0.73377485590586544</v>
      </c>
      <c r="AP4">
        <f>AH4^(-0.6)*AI4^0.57</f>
        <v>0.38539352254390641</v>
      </c>
      <c r="AQ4">
        <f>(AI4*AM4/AH4)^0.6</f>
        <v>0.89074090682672002</v>
      </c>
      <c r="AR4">
        <f>(AI4/AH4)^(0.6)*AM4^(0.45)</f>
        <v>0.71867398773312718</v>
      </c>
      <c r="AS4">
        <f>AI4/AH4</f>
        <v>0.19714655172413795</v>
      </c>
    </row>
    <row r="5" spans="2:45" x14ac:dyDescent="0.2">
      <c r="B5" t="s">
        <v>6</v>
      </c>
      <c r="C5" t="s">
        <v>7</v>
      </c>
      <c r="D5" t="s">
        <v>8</v>
      </c>
      <c r="E5" t="s">
        <v>9</v>
      </c>
      <c r="F5" t="s">
        <v>10</v>
      </c>
      <c r="K5">
        <v>10</v>
      </c>
      <c r="L5">
        <v>30</v>
      </c>
      <c r="M5">
        <v>66.656220000000005</v>
      </c>
      <c r="N5">
        <v>17.203720000000001</v>
      </c>
      <c r="O5">
        <v>58.822560000000003</v>
      </c>
      <c r="P5">
        <v>10.206429999999999</v>
      </c>
      <c r="Q5">
        <f>27/(250/500)</f>
        <v>54</v>
      </c>
      <c r="R5">
        <f t="shared" ref="R5:U25" si="1">M5/0.2567</f>
        <v>259.66583560576549</v>
      </c>
      <c r="S5">
        <f t="shared" si="0"/>
        <v>67.018776782236074</v>
      </c>
      <c r="T5">
        <f t="shared" si="0"/>
        <v>229.14904557849633</v>
      </c>
      <c r="U5">
        <f t="shared" si="0"/>
        <v>39.760148032723023</v>
      </c>
      <c r="V5">
        <f t="shared" ref="V5:Y25" si="2">R5/$J$4</f>
        <v>2.4730079581501476</v>
      </c>
      <c r="W5">
        <f t="shared" si="2"/>
        <v>0.63827406459272451</v>
      </c>
      <c r="X5">
        <f t="shared" si="2"/>
        <v>2.1823718626523458</v>
      </c>
      <c r="Y5">
        <f t="shared" si="2"/>
        <v>0.37866807650212403</v>
      </c>
      <c r="Z5">
        <f t="shared" ref="Z5:AA25" si="3">K5/($I$4/1000*$J$4/1000)/60</f>
        <v>15.873015873015872</v>
      </c>
      <c r="AA5">
        <f t="shared" si="3"/>
        <v>47.619047619047613</v>
      </c>
      <c r="AB5">
        <f t="shared" ref="AB5:AB25" si="4">Z5/($I$4/1000)</f>
        <v>158.73015873015871</v>
      </c>
      <c r="AC5">
        <f t="shared" ref="AC5:AC25" si="5">0.125529/(1 + (0.0263514*AB5)^0.696827)</f>
        <v>3.3830586313650129E-2</v>
      </c>
      <c r="AE5">
        <f t="shared" ref="AE5:AE25" si="6">AC5/$AD$4</f>
        <v>0.11665719418500045</v>
      </c>
      <c r="AG5">
        <f t="shared" ref="AG5:AG25" si="7">AC5*(Z5/1000)/($AF$4/1000)</f>
        <v>0.14793207535812727</v>
      </c>
      <c r="AH5">
        <f t="shared" ref="AH5:AH25" si="8">$AD$4*(AA5/1000)/($AF$4/1000)</f>
        <v>3.8042765315492586</v>
      </c>
      <c r="AI5">
        <f t="shared" ref="AI5:AI25" si="9">K5/L5</f>
        <v>0.33333333333333331</v>
      </c>
      <c r="AJ5">
        <f t="shared" ref="AJ5:AJ25" si="10">1000*(Z5/1000)*($I$4/10^6)/AC5</f>
        <v>4.6919127341908798E-2</v>
      </c>
      <c r="AK5">
        <f t="shared" ref="AK5:AK25" si="11">1000*(AA5/1000)*($I$4/10^6)/$AD$4</f>
        <v>1.6420361247947456E-2</v>
      </c>
      <c r="AM5">
        <f t="shared" ref="AM5:AM25" si="12">$AL$4*AB5</f>
        <v>4.1827619047619038</v>
      </c>
      <c r="AN5">
        <f t="shared" ref="AN5:AN25" si="13">AM5/AJ5</f>
        <v>89.148331218551974</v>
      </c>
      <c r="AO5">
        <f t="shared" ref="AO5:AO25" si="14">AH5^(-0.6)*AI5^0.57*AM5^0.45</f>
        <v>0.45660015303231999</v>
      </c>
      <c r="AP5">
        <f t="shared" ref="AP5:AP25" si="15">AH5^(-0.6)*AI5^0.57</f>
        <v>0.23981571452727382</v>
      </c>
      <c r="AQ5">
        <f t="shared" ref="AQ5:AQ25" si="16">(AI5*AM5/AH5)^0.6</f>
        <v>0.54757282484355141</v>
      </c>
      <c r="AR5">
        <f t="shared" ref="AR5:AR25" si="17">(AI5/AH5)^(0.6)*AM5^(0.45)</f>
        <v>0.44179664657655915</v>
      </c>
      <c r="AS5">
        <f t="shared" ref="AS5:AS25" si="18">AI5/AH5</f>
        <v>8.7620689655172418E-2</v>
      </c>
    </row>
    <row r="6" spans="2:45" x14ac:dyDescent="0.2">
      <c r="B6" s="5" t="s">
        <v>48</v>
      </c>
      <c r="C6" t="s">
        <v>49</v>
      </c>
      <c r="D6" t="s">
        <v>50</v>
      </c>
      <c r="E6" t="s">
        <v>51</v>
      </c>
      <c r="F6" t="s">
        <v>52</v>
      </c>
      <c r="K6">
        <v>10</v>
      </c>
      <c r="L6">
        <v>40</v>
      </c>
      <c r="M6">
        <v>86.557500000000005</v>
      </c>
      <c r="N6">
        <v>4.6317000000000004</v>
      </c>
      <c r="O6">
        <v>69.729799999999997</v>
      </c>
      <c r="P6">
        <v>0.82</v>
      </c>
      <c r="Q6">
        <f>23/(250/1000)</f>
        <v>92</v>
      </c>
      <c r="R6">
        <f t="shared" si="1"/>
        <v>337.1932216595248</v>
      </c>
      <c r="S6">
        <f t="shared" si="0"/>
        <v>18.04324113751461</v>
      </c>
      <c r="T6">
        <f t="shared" si="0"/>
        <v>271.63926762758086</v>
      </c>
      <c r="U6">
        <f t="shared" si="0"/>
        <v>3.1943903389170236</v>
      </c>
      <c r="V6">
        <f t="shared" si="2"/>
        <v>3.2113640158049979</v>
      </c>
      <c r="W6">
        <f t="shared" si="2"/>
        <v>0.17184039178585342</v>
      </c>
      <c r="X6">
        <f t="shared" si="2"/>
        <v>2.5870406440721987</v>
      </c>
      <c r="Y6">
        <f t="shared" si="2"/>
        <v>3.0422765132543082E-2</v>
      </c>
      <c r="Z6">
        <f t="shared" si="3"/>
        <v>15.873015873015872</v>
      </c>
      <c r="AA6">
        <f t="shared" si="3"/>
        <v>63.492063492063487</v>
      </c>
      <c r="AB6">
        <f t="shared" si="4"/>
        <v>158.73015873015871</v>
      </c>
      <c r="AC6">
        <f t="shared" si="5"/>
        <v>3.3830586313650129E-2</v>
      </c>
      <c r="AE6">
        <f t="shared" si="6"/>
        <v>0.11665719418500045</v>
      </c>
      <c r="AG6">
        <f t="shared" si="7"/>
        <v>0.14793207535812727</v>
      </c>
      <c r="AH6">
        <f t="shared" si="8"/>
        <v>5.0723687087323448</v>
      </c>
      <c r="AI6">
        <f t="shared" si="9"/>
        <v>0.25</v>
      </c>
      <c r="AJ6">
        <f t="shared" si="10"/>
        <v>4.6919127341908798E-2</v>
      </c>
      <c r="AK6">
        <f t="shared" si="11"/>
        <v>2.1893814997263273E-2</v>
      </c>
      <c r="AM6">
        <f t="shared" si="12"/>
        <v>4.1827619047619038</v>
      </c>
      <c r="AN6">
        <f t="shared" si="13"/>
        <v>89.148331218551974</v>
      </c>
      <c r="AO6">
        <f t="shared" si="14"/>
        <v>0.32610520514799157</v>
      </c>
      <c r="AP6">
        <f t="shared" si="15"/>
        <v>0.1712771059410774</v>
      </c>
      <c r="AQ6">
        <f t="shared" si="16"/>
        <v>0.3877174990944508</v>
      </c>
      <c r="AR6">
        <f t="shared" si="17"/>
        <v>0.31282102242367288</v>
      </c>
      <c r="AS6">
        <f t="shared" si="18"/>
        <v>4.9286637931034487E-2</v>
      </c>
    </row>
    <row r="7" spans="2:45" x14ac:dyDescent="0.2">
      <c r="B7">
        <v>1000</v>
      </c>
      <c r="C7">
        <v>13.427</v>
      </c>
      <c r="D7">
        <v>1.342E-2</v>
      </c>
      <c r="E7">
        <v>20.94</v>
      </c>
      <c r="F7">
        <v>439.43</v>
      </c>
      <c r="K7">
        <v>10</v>
      </c>
      <c r="L7">
        <v>50</v>
      </c>
      <c r="M7">
        <v>64.299199999999999</v>
      </c>
      <c r="N7">
        <v>4.4488000000000003</v>
      </c>
      <c r="O7">
        <v>60.3474</v>
      </c>
      <c r="P7">
        <v>3.5676999999999999</v>
      </c>
      <c r="Q7">
        <f>31/(250/1000)</f>
        <v>124</v>
      </c>
      <c r="R7">
        <f t="shared" si="1"/>
        <v>250.4838332684067</v>
      </c>
      <c r="S7">
        <f t="shared" si="0"/>
        <v>17.330736268017144</v>
      </c>
      <c r="T7">
        <f t="shared" si="0"/>
        <v>235.08920919361123</v>
      </c>
      <c r="U7">
        <f t="shared" si="0"/>
        <v>13.898324892871056</v>
      </c>
      <c r="V7">
        <f t="shared" si="2"/>
        <v>2.3855603168419686</v>
      </c>
      <c r="W7">
        <f t="shared" si="2"/>
        <v>0.16505463112397281</v>
      </c>
      <c r="X7">
        <f t="shared" si="2"/>
        <v>2.238944849462964</v>
      </c>
      <c r="Y7">
        <f t="shared" si="2"/>
        <v>0.13236499897972434</v>
      </c>
      <c r="Z7">
        <f t="shared" si="3"/>
        <v>15.873015873015872</v>
      </c>
      <c r="AA7">
        <f t="shared" si="3"/>
        <v>79.365079365079353</v>
      </c>
      <c r="AB7">
        <f t="shared" si="4"/>
        <v>158.73015873015871</v>
      </c>
      <c r="AC7">
        <f t="shared" si="5"/>
        <v>3.3830586313650129E-2</v>
      </c>
      <c r="AE7">
        <f t="shared" si="6"/>
        <v>0.11665719418500045</v>
      </c>
      <c r="AG7">
        <f t="shared" si="7"/>
        <v>0.14793207535812727</v>
      </c>
      <c r="AH7">
        <f t="shared" si="8"/>
        <v>6.3404608859154301</v>
      </c>
      <c r="AI7">
        <f t="shared" si="9"/>
        <v>0.2</v>
      </c>
      <c r="AJ7">
        <f t="shared" si="10"/>
        <v>4.6919127341908798E-2</v>
      </c>
      <c r="AK7">
        <f t="shared" si="11"/>
        <v>2.736726874657909E-2</v>
      </c>
      <c r="AM7">
        <f t="shared" si="12"/>
        <v>4.1827619047619038</v>
      </c>
      <c r="AN7">
        <f t="shared" si="13"/>
        <v>89.148331218551974</v>
      </c>
      <c r="AO7">
        <f t="shared" si="14"/>
        <v>0.25117303634595262</v>
      </c>
      <c r="AP7">
        <f t="shared" si="15"/>
        <v>0.13192120235015747</v>
      </c>
      <c r="AQ7">
        <f t="shared" si="16"/>
        <v>0.2966356795770555</v>
      </c>
      <c r="AR7">
        <f t="shared" si="17"/>
        <v>0.23933373342540384</v>
      </c>
      <c r="AS7">
        <f t="shared" si="18"/>
        <v>3.1543448275862078E-2</v>
      </c>
    </row>
    <row r="8" spans="2:45" x14ac:dyDescent="0.2">
      <c r="B8">
        <v>790</v>
      </c>
      <c r="C8">
        <v>11.994999999999999</v>
      </c>
      <c r="D8">
        <v>1.5176E-2</v>
      </c>
      <c r="E8">
        <v>20.94</v>
      </c>
      <c r="F8">
        <v>392.58</v>
      </c>
      <c r="K8">
        <v>10</v>
      </c>
      <c r="L8">
        <v>60</v>
      </c>
      <c r="M8">
        <v>46.880899999999997</v>
      </c>
      <c r="N8">
        <v>3.6718000000000002</v>
      </c>
      <c r="O8">
        <v>45.336100000000002</v>
      </c>
      <c r="P8">
        <v>3.2747000000000002</v>
      </c>
      <c r="Q8">
        <f>33/(250/1000)</f>
        <v>132</v>
      </c>
      <c r="R8">
        <f t="shared" si="1"/>
        <v>182.62913907284769</v>
      </c>
      <c r="S8">
        <f t="shared" si="0"/>
        <v>14.303856641994548</v>
      </c>
      <c r="T8">
        <f t="shared" si="0"/>
        <v>176.61121932216597</v>
      </c>
      <c r="U8">
        <f t="shared" si="0"/>
        <v>12.756914686404365</v>
      </c>
      <c r="V8">
        <f t="shared" si="2"/>
        <v>1.739325134027121</v>
      </c>
      <c r="W8">
        <f t="shared" si="2"/>
        <v>0.13622720611423378</v>
      </c>
      <c r="X8">
        <f t="shared" si="2"/>
        <v>1.6820116125920568</v>
      </c>
      <c r="Y8">
        <f t="shared" si="2"/>
        <v>0.12149442558480347</v>
      </c>
      <c r="Z8">
        <f t="shared" si="3"/>
        <v>15.873015873015872</v>
      </c>
      <c r="AA8">
        <f t="shared" si="3"/>
        <v>95.238095238095227</v>
      </c>
      <c r="AB8">
        <f t="shared" si="4"/>
        <v>158.73015873015871</v>
      </c>
      <c r="AC8">
        <f t="shared" si="5"/>
        <v>3.3830586313650129E-2</v>
      </c>
      <c r="AE8">
        <f t="shared" si="6"/>
        <v>0.11665719418500045</v>
      </c>
      <c r="AG8">
        <f t="shared" si="7"/>
        <v>0.14793207535812727</v>
      </c>
      <c r="AH8">
        <f t="shared" si="8"/>
        <v>7.6085530630985172</v>
      </c>
      <c r="AI8">
        <f t="shared" si="9"/>
        <v>0.16666666666666666</v>
      </c>
      <c r="AJ8">
        <f t="shared" si="10"/>
        <v>4.6919127341908798E-2</v>
      </c>
      <c r="AK8">
        <f t="shared" si="11"/>
        <v>3.2840722495894911E-2</v>
      </c>
      <c r="AM8">
        <f t="shared" si="12"/>
        <v>4.1827619047619038</v>
      </c>
      <c r="AN8">
        <f t="shared" si="13"/>
        <v>89.148331218551974</v>
      </c>
      <c r="AO8">
        <f t="shared" si="14"/>
        <v>0.20292285212115685</v>
      </c>
      <c r="AP8">
        <f t="shared" si="15"/>
        <v>0.10657922134314947</v>
      </c>
      <c r="AQ8">
        <f t="shared" si="16"/>
        <v>0.23834491555660173</v>
      </c>
      <c r="AR8">
        <f t="shared" si="17"/>
        <v>0.19230315976978116</v>
      </c>
      <c r="AS8">
        <f t="shared" si="18"/>
        <v>2.1905172413793104E-2</v>
      </c>
    </row>
    <row r="9" spans="2:45" x14ac:dyDescent="0.2">
      <c r="B9">
        <v>628</v>
      </c>
      <c r="C9">
        <v>10.718999999999999</v>
      </c>
      <c r="D9">
        <v>1.7073999999999999E-2</v>
      </c>
      <c r="E9">
        <v>20.94</v>
      </c>
      <c r="F9">
        <v>350.8</v>
      </c>
      <c r="K9">
        <v>10</v>
      </c>
      <c r="L9">
        <v>70</v>
      </c>
      <c r="M9">
        <v>39.855899999999998</v>
      </c>
      <c r="N9">
        <v>3.633</v>
      </c>
      <c r="O9">
        <v>38.782600000000002</v>
      </c>
      <c r="P9">
        <v>3.6181000000000001</v>
      </c>
      <c r="Q9">
        <f>47/(250/250)</f>
        <v>47</v>
      </c>
      <c r="R9">
        <f t="shared" si="1"/>
        <v>155.26256330346709</v>
      </c>
      <c r="S9">
        <f t="shared" si="0"/>
        <v>14.152707440592131</v>
      </c>
      <c r="T9">
        <f t="shared" si="0"/>
        <v>151.08141799766267</v>
      </c>
      <c r="U9">
        <f t="shared" si="0"/>
        <v>14.094663030775225</v>
      </c>
      <c r="V9">
        <f t="shared" si="2"/>
        <v>1.4786910790806389</v>
      </c>
      <c r="W9">
        <f t="shared" si="2"/>
        <v>0.13478768991040124</v>
      </c>
      <c r="X9">
        <f t="shared" si="2"/>
        <v>1.4388706475967874</v>
      </c>
      <c r="Y9">
        <f t="shared" si="2"/>
        <v>0.13423488600738309</v>
      </c>
      <c r="Z9">
        <f t="shared" si="3"/>
        <v>15.873015873015872</v>
      </c>
      <c r="AA9">
        <f t="shared" si="3"/>
        <v>111.1111111111111</v>
      </c>
      <c r="AB9">
        <f t="shared" si="4"/>
        <v>158.73015873015871</v>
      </c>
      <c r="AC9">
        <f t="shared" si="5"/>
        <v>3.3830586313650129E-2</v>
      </c>
      <c r="AE9">
        <f t="shared" si="6"/>
        <v>0.11665719418500045</v>
      </c>
      <c r="AG9">
        <f t="shared" si="7"/>
        <v>0.14793207535812727</v>
      </c>
      <c r="AH9">
        <f t="shared" si="8"/>
        <v>8.8766452402816043</v>
      </c>
      <c r="AI9">
        <f t="shared" si="9"/>
        <v>0.14285714285714285</v>
      </c>
      <c r="AJ9">
        <f t="shared" si="10"/>
        <v>4.6919127341908798E-2</v>
      </c>
      <c r="AK9">
        <f t="shared" si="11"/>
        <v>3.8314176245210725E-2</v>
      </c>
      <c r="AM9">
        <f t="shared" si="12"/>
        <v>4.1827619047619038</v>
      </c>
      <c r="AN9">
        <f t="shared" si="13"/>
        <v>89.148331218551974</v>
      </c>
      <c r="AO9">
        <f t="shared" si="14"/>
        <v>0.16943503391273002</v>
      </c>
      <c r="AP9">
        <f t="shared" si="15"/>
        <v>8.8990736104413964E-2</v>
      </c>
      <c r="AQ9">
        <f t="shared" si="16"/>
        <v>0.19809328057957001</v>
      </c>
      <c r="AR9">
        <f t="shared" si="17"/>
        <v>0.15982704600873535</v>
      </c>
      <c r="AS9">
        <f t="shared" si="18"/>
        <v>1.6093596059113299E-2</v>
      </c>
    </row>
    <row r="10" spans="2:45" x14ac:dyDescent="0.2">
      <c r="B10">
        <v>499</v>
      </c>
      <c r="C10">
        <v>9.5754999999999999</v>
      </c>
      <c r="D10">
        <v>1.9202E-2</v>
      </c>
      <c r="E10">
        <v>20.94</v>
      </c>
      <c r="F10">
        <v>313.38</v>
      </c>
      <c r="K10">
        <v>10</v>
      </c>
      <c r="L10">
        <v>80</v>
      </c>
      <c r="M10">
        <v>55.128900000000002</v>
      </c>
      <c r="N10">
        <v>0.47620000000000001</v>
      </c>
      <c r="O10">
        <v>53.134700000000002</v>
      </c>
      <c r="P10">
        <v>0.36909999999999998</v>
      </c>
      <c r="Q10">
        <f>34/(250/2000)</f>
        <v>272</v>
      </c>
      <c r="R10">
        <f t="shared" si="1"/>
        <v>214.76003116478381</v>
      </c>
      <c r="S10">
        <f t="shared" si="0"/>
        <v>1.8550837553564474</v>
      </c>
      <c r="T10">
        <f t="shared" si="0"/>
        <v>206.99142968445659</v>
      </c>
      <c r="U10">
        <f t="shared" si="0"/>
        <v>1.4378652123100897</v>
      </c>
      <c r="V10">
        <f t="shared" si="2"/>
        <v>2.0453336301407981</v>
      </c>
      <c r="W10">
        <f t="shared" si="2"/>
        <v>1.766746433672807E-2</v>
      </c>
      <c r="X10">
        <f t="shared" si="2"/>
        <v>1.9713469493757771</v>
      </c>
      <c r="Y10">
        <f t="shared" si="2"/>
        <v>1.3693954402953235E-2</v>
      </c>
      <c r="Z10">
        <f t="shared" si="3"/>
        <v>15.873015873015872</v>
      </c>
      <c r="AA10">
        <f t="shared" si="3"/>
        <v>126.98412698412697</v>
      </c>
      <c r="AB10">
        <f t="shared" si="4"/>
        <v>158.73015873015871</v>
      </c>
      <c r="AC10">
        <f t="shared" si="5"/>
        <v>3.3830586313650129E-2</v>
      </c>
      <c r="AE10">
        <f t="shared" si="6"/>
        <v>0.11665719418500045</v>
      </c>
      <c r="AG10">
        <f t="shared" si="7"/>
        <v>0.14793207535812727</v>
      </c>
      <c r="AH10">
        <f t="shared" si="8"/>
        <v>10.14473741746469</v>
      </c>
      <c r="AI10">
        <f t="shared" si="9"/>
        <v>0.125</v>
      </c>
      <c r="AJ10">
        <f t="shared" si="10"/>
        <v>4.6919127341908798E-2</v>
      </c>
      <c r="AK10">
        <f t="shared" si="11"/>
        <v>4.3787629994526546E-2</v>
      </c>
      <c r="AM10">
        <f t="shared" si="12"/>
        <v>4.1827619047619038</v>
      </c>
      <c r="AN10">
        <f t="shared" si="13"/>
        <v>89.148331218551974</v>
      </c>
      <c r="AO10">
        <f t="shared" si="14"/>
        <v>0.14492811244305764</v>
      </c>
      <c r="AP10">
        <f t="shared" si="15"/>
        <v>7.6119201033558972E-2</v>
      </c>
      <c r="AQ10">
        <f t="shared" si="16"/>
        <v>0.16876384361821931</v>
      </c>
      <c r="AR10">
        <f t="shared" si="17"/>
        <v>0.13616325864089898</v>
      </c>
      <c r="AS10">
        <f t="shared" si="18"/>
        <v>1.2321659482758622E-2</v>
      </c>
    </row>
    <row r="11" spans="2:45" x14ac:dyDescent="0.2">
      <c r="B11">
        <v>396</v>
      </c>
      <c r="C11">
        <v>8.5472000000000001</v>
      </c>
      <c r="D11">
        <v>2.1576999999999999E-2</v>
      </c>
      <c r="E11">
        <v>20.94</v>
      </c>
      <c r="F11">
        <v>279.73</v>
      </c>
      <c r="K11">
        <v>10</v>
      </c>
      <c r="L11">
        <v>90</v>
      </c>
      <c r="M11">
        <v>28.8367</v>
      </c>
      <c r="N11">
        <v>1.6597</v>
      </c>
      <c r="O11">
        <v>27.341899999999999</v>
      </c>
      <c r="P11">
        <v>1.976</v>
      </c>
      <c r="Q11">
        <f>57/(250/2000)</f>
        <v>456</v>
      </c>
      <c r="R11">
        <f t="shared" si="1"/>
        <v>112.33619010518116</v>
      </c>
      <c r="S11">
        <f t="shared" si="0"/>
        <v>6.4655239579275419</v>
      </c>
      <c r="T11">
        <f t="shared" si="0"/>
        <v>106.51305025321388</v>
      </c>
      <c r="U11">
        <f t="shared" si="0"/>
        <v>7.6977015971951701</v>
      </c>
      <c r="V11">
        <f t="shared" si="2"/>
        <v>1.0698684771922016</v>
      </c>
      <c r="W11">
        <f t="shared" si="2"/>
        <v>6.157641864692897E-2</v>
      </c>
      <c r="X11">
        <f t="shared" si="2"/>
        <v>1.0144100024115608</v>
      </c>
      <c r="Y11">
        <f t="shared" si="2"/>
        <v>7.3311443782811139E-2</v>
      </c>
      <c r="Z11">
        <f t="shared" si="3"/>
        <v>15.873015873015872</v>
      </c>
      <c r="AA11">
        <f t="shared" si="3"/>
        <v>142.85714285714283</v>
      </c>
      <c r="AB11">
        <f t="shared" si="4"/>
        <v>158.73015873015871</v>
      </c>
      <c r="AC11">
        <f t="shared" si="5"/>
        <v>3.3830586313650129E-2</v>
      </c>
      <c r="AE11">
        <f t="shared" si="6"/>
        <v>0.11665719418500045</v>
      </c>
      <c r="AG11">
        <f t="shared" si="7"/>
        <v>0.14793207535812727</v>
      </c>
      <c r="AH11">
        <f t="shared" si="8"/>
        <v>11.412829594647773</v>
      </c>
      <c r="AI11">
        <f t="shared" si="9"/>
        <v>0.1111111111111111</v>
      </c>
      <c r="AJ11">
        <f t="shared" si="10"/>
        <v>4.6919127341908798E-2</v>
      </c>
      <c r="AK11">
        <f t="shared" si="11"/>
        <v>4.926108374384236E-2</v>
      </c>
      <c r="AM11">
        <f t="shared" si="12"/>
        <v>4.1827619047619038</v>
      </c>
      <c r="AN11">
        <f t="shared" si="13"/>
        <v>89.148331218551974</v>
      </c>
      <c r="AO11">
        <f t="shared" si="14"/>
        <v>0.12627116422228774</v>
      </c>
      <c r="AP11">
        <f t="shared" si="15"/>
        <v>6.6320191246224139E-2</v>
      </c>
      <c r="AQ11">
        <f t="shared" si="16"/>
        <v>0.14651982153079124</v>
      </c>
      <c r="AR11">
        <f t="shared" si="17"/>
        <v>0.11821617668443324</v>
      </c>
      <c r="AS11">
        <f t="shared" si="18"/>
        <v>9.7356321839080478E-3</v>
      </c>
    </row>
    <row r="12" spans="2:45" x14ac:dyDescent="0.2">
      <c r="B12">
        <v>315</v>
      </c>
      <c r="C12">
        <v>7.6186999999999996</v>
      </c>
      <c r="D12">
        <v>2.4212000000000001E-2</v>
      </c>
      <c r="E12">
        <v>20.94</v>
      </c>
      <c r="F12">
        <v>249.34</v>
      </c>
      <c r="K12">
        <v>20</v>
      </c>
      <c r="L12">
        <v>100</v>
      </c>
      <c r="M12">
        <v>48.229900000000001</v>
      </c>
      <c r="N12">
        <v>8.0353220000000007</v>
      </c>
      <c r="O12">
        <v>44.826900000000002</v>
      </c>
      <c r="P12">
        <v>7.7001379999999999</v>
      </c>
      <c r="Q12">
        <f>26/(250/2000)</f>
        <v>208</v>
      </c>
      <c r="R12">
        <f t="shared" si="1"/>
        <v>187.88430074016364</v>
      </c>
      <c r="S12">
        <f t="shared" si="0"/>
        <v>31.302384105960268</v>
      </c>
      <c r="T12">
        <f t="shared" si="0"/>
        <v>174.62758083365799</v>
      </c>
      <c r="U12">
        <f t="shared" si="0"/>
        <v>29.996641994546163</v>
      </c>
      <c r="V12">
        <f t="shared" si="2"/>
        <v>1.7893742927634633</v>
      </c>
      <c r="W12">
        <f t="shared" si="2"/>
        <v>0.29811794386628826</v>
      </c>
      <c r="X12">
        <f t="shared" si="2"/>
        <v>1.6631198174634094</v>
      </c>
      <c r="Y12">
        <f t="shared" si="2"/>
        <v>0.28568230470996347</v>
      </c>
      <c r="Z12">
        <f t="shared" si="3"/>
        <v>31.746031746031743</v>
      </c>
      <c r="AA12">
        <f t="shared" si="3"/>
        <v>158.73015873015871</v>
      </c>
      <c r="AB12">
        <f t="shared" si="4"/>
        <v>317.46031746031741</v>
      </c>
      <c r="AC12">
        <f t="shared" si="5"/>
        <v>2.3273799019313739E-2</v>
      </c>
      <c r="AE12">
        <f t="shared" si="6"/>
        <v>8.0254479376943938E-2</v>
      </c>
      <c r="AG12">
        <f t="shared" si="7"/>
        <v>0.20354015496360783</v>
      </c>
      <c r="AH12">
        <f t="shared" si="8"/>
        <v>12.68092177183086</v>
      </c>
      <c r="AI12">
        <f t="shared" si="9"/>
        <v>0.2</v>
      </c>
      <c r="AJ12">
        <f t="shared" si="10"/>
        <v>0.13640244860620879</v>
      </c>
      <c r="AK12">
        <f t="shared" si="11"/>
        <v>5.4734537493158181E-2</v>
      </c>
      <c r="AM12">
        <f t="shared" si="12"/>
        <v>8.3655238095238076</v>
      </c>
      <c r="AN12">
        <f t="shared" si="13"/>
        <v>61.329718747754391</v>
      </c>
      <c r="AO12">
        <f t="shared" si="14"/>
        <v>0.22636981520215677</v>
      </c>
      <c r="AP12">
        <f t="shared" si="15"/>
        <v>8.7035535049852286E-2</v>
      </c>
      <c r="AQ12">
        <f t="shared" si="16"/>
        <v>0.2966356795770555</v>
      </c>
      <c r="AR12">
        <f t="shared" si="17"/>
        <v>0.21569963796802233</v>
      </c>
      <c r="AS12">
        <f t="shared" si="18"/>
        <v>1.5771724137931039E-2</v>
      </c>
    </row>
    <row r="13" spans="2:45" x14ac:dyDescent="0.2">
      <c r="B13">
        <v>250</v>
      </c>
      <c r="C13">
        <v>6.7851999999999997</v>
      </c>
      <c r="D13">
        <v>2.7144000000000001E-2</v>
      </c>
      <c r="E13">
        <v>20.94</v>
      </c>
      <c r="F13">
        <v>222.06</v>
      </c>
      <c r="K13">
        <v>20</v>
      </c>
      <c r="L13">
        <v>40</v>
      </c>
      <c r="M13">
        <v>131.05119999999999</v>
      </c>
      <c r="N13">
        <v>57.219160000000002</v>
      </c>
      <c r="O13">
        <v>65.063670000000002</v>
      </c>
      <c r="P13">
        <v>8.4776570000000007</v>
      </c>
      <c r="Q13">
        <f>12/(250/1000)</f>
        <v>48</v>
      </c>
      <c r="R13">
        <f t="shared" si="1"/>
        <v>510.52278924814959</v>
      </c>
      <c r="S13">
        <f t="shared" si="0"/>
        <v>222.90284378652126</v>
      </c>
      <c r="T13">
        <f t="shared" si="0"/>
        <v>253.46190105181148</v>
      </c>
      <c r="U13">
        <f t="shared" si="0"/>
        <v>33.02554343591742</v>
      </c>
      <c r="V13">
        <f t="shared" si="2"/>
        <v>4.8621218023633297</v>
      </c>
      <c r="W13">
        <f t="shared" si="2"/>
        <v>2.1228842265382979</v>
      </c>
      <c r="X13">
        <f t="shared" si="2"/>
        <v>2.4139228671601094</v>
      </c>
      <c r="Y13">
        <f t="shared" si="2"/>
        <v>0.31452898510397542</v>
      </c>
      <c r="Z13">
        <f t="shared" si="3"/>
        <v>31.746031746031743</v>
      </c>
      <c r="AA13">
        <f t="shared" si="3"/>
        <v>63.492063492063487</v>
      </c>
      <c r="AB13">
        <f t="shared" si="4"/>
        <v>317.46031746031741</v>
      </c>
      <c r="AC13">
        <f t="shared" si="5"/>
        <v>2.3273799019313739E-2</v>
      </c>
      <c r="AE13">
        <f t="shared" si="6"/>
        <v>8.0254479376943938E-2</v>
      </c>
      <c r="AG13">
        <f t="shared" si="7"/>
        <v>0.20354015496360783</v>
      </c>
      <c r="AH13">
        <f t="shared" si="8"/>
        <v>5.0723687087323448</v>
      </c>
      <c r="AI13">
        <f t="shared" si="9"/>
        <v>0.5</v>
      </c>
      <c r="AJ13">
        <f t="shared" si="10"/>
        <v>0.13640244860620879</v>
      </c>
      <c r="AK13">
        <f t="shared" si="11"/>
        <v>2.1893814997263273E-2</v>
      </c>
      <c r="AM13">
        <f t="shared" si="12"/>
        <v>8.3655238095238076</v>
      </c>
      <c r="AN13">
        <f t="shared" si="13"/>
        <v>61.329718747754391</v>
      </c>
      <c r="AO13">
        <f t="shared" si="14"/>
        <v>0.6613149283373565</v>
      </c>
      <c r="AP13">
        <f t="shared" si="15"/>
        <v>0.25426490087865811</v>
      </c>
      <c r="AQ13">
        <f t="shared" si="16"/>
        <v>0.89074090682672002</v>
      </c>
      <c r="AR13">
        <f t="shared" si="17"/>
        <v>0.64770526391085093</v>
      </c>
      <c r="AS13">
        <f t="shared" si="18"/>
        <v>9.8573275862068974E-2</v>
      </c>
    </row>
    <row r="14" spans="2:45" x14ac:dyDescent="0.2">
      <c r="B14">
        <v>199</v>
      </c>
      <c r="C14">
        <v>6.0255000000000001</v>
      </c>
      <c r="D14">
        <v>3.0343999999999999E-2</v>
      </c>
      <c r="E14">
        <v>20.94</v>
      </c>
      <c r="F14">
        <v>197.2</v>
      </c>
      <c r="K14">
        <v>20</v>
      </c>
      <c r="L14">
        <v>60</v>
      </c>
      <c r="M14">
        <v>87.506500000000003</v>
      </c>
      <c r="N14">
        <v>4.1746999999999996</v>
      </c>
      <c r="O14">
        <v>66.371600000000001</v>
      </c>
      <c r="P14">
        <v>1.5089999999999999</v>
      </c>
      <c r="Q14">
        <f>29/(250/1000)</f>
        <v>116</v>
      </c>
      <c r="R14">
        <f t="shared" si="1"/>
        <v>340.89014413712511</v>
      </c>
      <c r="S14">
        <f t="shared" si="0"/>
        <v>16.262952863264509</v>
      </c>
      <c r="T14">
        <f t="shared" si="0"/>
        <v>258.55707051032334</v>
      </c>
      <c r="U14">
        <f t="shared" si="0"/>
        <v>5.8784573432021814</v>
      </c>
      <c r="V14">
        <f t="shared" si="2"/>
        <v>3.2465728013059536</v>
      </c>
      <c r="W14">
        <f t="shared" si="2"/>
        <v>0.1548852653644239</v>
      </c>
      <c r="X14">
        <f t="shared" si="2"/>
        <v>2.4624482905745082</v>
      </c>
      <c r="Y14">
        <f t="shared" si="2"/>
        <v>5.5985308030496964E-2</v>
      </c>
      <c r="Z14">
        <f t="shared" si="3"/>
        <v>31.746031746031743</v>
      </c>
      <c r="AA14">
        <f t="shared" si="3"/>
        <v>95.238095238095227</v>
      </c>
      <c r="AB14">
        <f t="shared" si="4"/>
        <v>317.46031746031741</v>
      </c>
      <c r="AC14">
        <f t="shared" si="5"/>
        <v>2.3273799019313739E-2</v>
      </c>
      <c r="AE14">
        <f t="shared" si="6"/>
        <v>8.0254479376943938E-2</v>
      </c>
      <c r="AG14">
        <f t="shared" si="7"/>
        <v>0.20354015496360783</v>
      </c>
      <c r="AH14">
        <f t="shared" si="8"/>
        <v>7.6085530630985172</v>
      </c>
      <c r="AI14">
        <f t="shared" si="9"/>
        <v>0.33333333333333331</v>
      </c>
      <c r="AJ14">
        <f t="shared" si="10"/>
        <v>0.13640244860620879</v>
      </c>
      <c r="AK14">
        <f t="shared" si="11"/>
        <v>3.2840722495894911E-2</v>
      </c>
      <c r="AM14">
        <f t="shared" si="12"/>
        <v>8.3655238095238076</v>
      </c>
      <c r="AN14">
        <f t="shared" si="13"/>
        <v>61.329718747754391</v>
      </c>
      <c r="AO14">
        <f t="shared" si="14"/>
        <v>0.41151109914855433</v>
      </c>
      <c r="AP14">
        <f t="shared" si="15"/>
        <v>0.15821936622319599</v>
      </c>
      <c r="AQ14">
        <f t="shared" si="16"/>
        <v>0.54757282484355141</v>
      </c>
      <c r="AR14">
        <f t="shared" si="17"/>
        <v>0.39816943210703742</v>
      </c>
      <c r="AS14">
        <f t="shared" si="18"/>
        <v>4.3810344827586209E-2</v>
      </c>
    </row>
    <row r="15" spans="2:45" x14ac:dyDescent="0.2">
      <c r="B15">
        <v>158</v>
      </c>
      <c r="C15">
        <v>5.3399000000000001</v>
      </c>
      <c r="D15">
        <v>3.3852E-2</v>
      </c>
      <c r="E15">
        <v>20.94</v>
      </c>
      <c r="F15">
        <v>174.76</v>
      </c>
      <c r="K15">
        <v>20</v>
      </c>
      <c r="L15">
        <v>80</v>
      </c>
      <c r="M15">
        <v>65.183400000000006</v>
      </c>
      <c r="N15">
        <v>5.8113000000000001</v>
      </c>
      <c r="O15">
        <v>60.027799999999999</v>
      </c>
      <c r="P15">
        <v>2.0697000000000001</v>
      </c>
      <c r="Q15">
        <f>43/(250/1000)</f>
        <v>172</v>
      </c>
      <c r="R15">
        <f t="shared" si="1"/>
        <v>253.92832099727312</v>
      </c>
      <c r="S15">
        <f t="shared" si="0"/>
        <v>22.638488507985979</v>
      </c>
      <c r="T15">
        <f t="shared" si="0"/>
        <v>233.84417608102845</v>
      </c>
      <c r="U15">
        <f t="shared" si="0"/>
        <v>8.062719127386055</v>
      </c>
      <c r="V15">
        <f t="shared" si="2"/>
        <v>2.4183649618787917</v>
      </c>
      <c r="W15">
        <f t="shared" si="2"/>
        <v>0.21560465245700933</v>
      </c>
      <c r="X15">
        <f t="shared" si="2"/>
        <v>2.2270873912478901</v>
      </c>
      <c r="Y15">
        <f t="shared" si="2"/>
        <v>7.6787801213200529E-2</v>
      </c>
      <c r="Z15">
        <f t="shared" si="3"/>
        <v>31.746031746031743</v>
      </c>
      <c r="AA15">
        <f t="shared" si="3"/>
        <v>126.98412698412697</v>
      </c>
      <c r="AB15">
        <f t="shared" si="4"/>
        <v>317.46031746031741</v>
      </c>
      <c r="AC15">
        <f t="shared" si="5"/>
        <v>2.3273799019313739E-2</v>
      </c>
      <c r="AE15">
        <f t="shared" si="6"/>
        <v>8.0254479376943938E-2</v>
      </c>
      <c r="AG15">
        <f t="shared" si="7"/>
        <v>0.20354015496360783</v>
      </c>
      <c r="AH15">
        <f t="shared" si="8"/>
        <v>10.14473741746469</v>
      </c>
      <c r="AI15">
        <f t="shared" si="9"/>
        <v>0.25</v>
      </c>
      <c r="AJ15">
        <f t="shared" si="10"/>
        <v>0.13640244860620879</v>
      </c>
      <c r="AK15">
        <f t="shared" si="11"/>
        <v>4.3787629994526546E-2</v>
      </c>
      <c r="AM15">
        <f t="shared" si="12"/>
        <v>8.3655238095238076</v>
      </c>
      <c r="AN15">
        <f t="shared" si="13"/>
        <v>61.329718747754391</v>
      </c>
      <c r="AO15">
        <f t="shared" si="14"/>
        <v>0.29390246699942707</v>
      </c>
      <c r="AP15">
        <f t="shared" si="15"/>
        <v>0.11300074811176934</v>
      </c>
      <c r="AQ15">
        <f t="shared" si="16"/>
        <v>0.3877174990944508</v>
      </c>
      <c r="AR15">
        <f t="shared" si="17"/>
        <v>0.28193009117372803</v>
      </c>
      <c r="AS15">
        <f t="shared" si="18"/>
        <v>2.4643318965517243E-2</v>
      </c>
    </row>
    <row r="16" spans="2:45" x14ac:dyDescent="0.2">
      <c r="B16">
        <v>125</v>
      </c>
      <c r="C16">
        <v>4.7144000000000004</v>
      </c>
      <c r="D16">
        <v>3.7622000000000003E-2</v>
      </c>
      <c r="E16">
        <v>20.93</v>
      </c>
      <c r="F16">
        <v>154.29</v>
      </c>
      <c r="K16" s="7">
        <v>40</v>
      </c>
      <c r="L16" s="7">
        <v>100</v>
      </c>
      <c r="M16" s="7"/>
      <c r="N16" s="7"/>
      <c r="O16" s="7"/>
      <c r="P16" s="7"/>
      <c r="Q16" s="7"/>
      <c r="R16">
        <f t="shared" si="1"/>
        <v>0</v>
      </c>
      <c r="S16">
        <f t="shared" si="0"/>
        <v>0</v>
      </c>
      <c r="T16">
        <f t="shared" si="0"/>
        <v>0</v>
      </c>
      <c r="U16">
        <f t="shared" si="0"/>
        <v>0</v>
      </c>
      <c r="V16">
        <f t="shared" si="2"/>
        <v>0</v>
      </c>
      <c r="W16">
        <f t="shared" si="2"/>
        <v>0</v>
      </c>
      <c r="X16">
        <f t="shared" si="2"/>
        <v>0</v>
      </c>
      <c r="Y16">
        <f t="shared" si="2"/>
        <v>0</v>
      </c>
      <c r="Z16">
        <f t="shared" si="3"/>
        <v>63.492063492063487</v>
      </c>
      <c r="AA16">
        <f t="shared" si="3"/>
        <v>158.73015873015871</v>
      </c>
      <c r="AB16">
        <f t="shared" si="4"/>
        <v>634.92063492063482</v>
      </c>
      <c r="AC16">
        <f t="shared" si="5"/>
        <v>1.5455991833732656E-2</v>
      </c>
      <c r="AE16">
        <f t="shared" si="6"/>
        <v>5.3296523564595369E-2</v>
      </c>
      <c r="AG16">
        <f t="shared" si="7"/>
        <v>0.27033961841326959</v>
      </c>
      <c r="AH16">
        <f t="shared" si="8"/>
        <v>12.68092177183086</v>
      </c>
      <c r="AI16">
        <f t="shared" si="9"/>
        <v>0.4</v>
      </c>
      <c r="AJ16">
        <f t="shared" si="10"/>
        <v>0.41079255330280551</v>
      </c>
      <c r="AK16">
        <f t="shared" si="11"/>
        <v>5.4734537493158181E-2</v>
      </c>
      <c r="AM16">
        <f t="shared" si="12"/>
        <v>16.731047619047615</v>
      </c>
      <c r="AN16">
        <f t="shared" si="13"/>
        <v>40.728702320742265</v>
      </c>
      <c r="AO16">
        <f t="shared" si="14"/>
        <v>0.45905964012508782</v>
      </c>
      <c r="AP16">
        <f t="shared" si="15"/>
        <v>0.12920630326381646</v>
      </c>
      <c r="AQ16">
        <f t="shared" si="16"/>
        <v>0.68148983432718246</v>
      </c>
      <c r="AR16">
        <f t="shared" si="17"/>
        <v>0.44661253854715471</v>
      </c>
      <c r="AS16">
        <f t="shared" si="18"/>
        <v>3.1543448275862078E-2</v>
      </c>
    </row>
    <row r="17" spans="2:45" x14ac:dyDescent="0.2">
      <c r="B17">
        <v>99.5</v>
      </c>
      <c r="C17">
        <v>4.1516000000000002</v>
      </c>
      <c r="D17">
        <v>4.1704999999999999E-2</v>
      </c>
      <c r="E17">
        <v>20.93</v>
      </c>
      <c r="F17">
        <v>135.87</v>
      </c>
      <c r="K17" s="7">
        <v>40</v>
      </c>
      <c r="L17" s="7">
        <v>80</v>
      </c>
      <c r="M17" s="7"/>
      <c r="N17" s="7"/>
      <c r="O17" s="7"/>
      <c r="P17" s="7"/>
      <c r="Q17" s="7"/>
      <c r="R17">
        <f t="shared" si="1"/>
        <v>0</v>
      </c>
      <c r="S17">
        <f t="shared" si="0"/>
        <v>0</v>
      </c>
      <c r="T17">
        <f t="shared" si="0"/>
        <v>0</v>
      </c>
      <c r="U17">
        <f t="shared" si="0"/>
        <v>0</v>
      </c>
      <c r="V17">
        <f t="shared" si="2"/>
        <v>0</v>
      </c>
      <c r="W17">
        <f t="shared" si="2"/>
        <v>0</v>
      </c>
      <c r="X17">
        <f t="shared" si="2"/>
        <v>0</v>
      </c>
      <c r="Y17">
        <f t="shared" si="2"/>
        <v>0</v>
      </c>
      <c r="Z17">
        <f t="shared" si="3"/>
        <v>63.492063492063487</v>
      </c>
      <c r="AA17">
        <f t="shared" si="3"/>
        <v>126.98412698412697</v>
      </c>
      <c r="AB17">
        <f t="shared" si="4"/>
        <v>634.92063492063482</v>
      </c>
      <c r="AC17">
        <f t="shared" si="5"/>
        <v>1.5455991833732656E-2</v>
      </c>
      <c r="AE17">
        <f t="shared" si="6"/>
        <v>5.3296523564595369E-2</v>
      </c>
      <c r="AG17">
        <f t="shared" si="7"/>
        <v>0.27033961841326959</v>
      </c>
      <c r="AH17">
        <f t="shared" si="8"/>
        <v>10.14473741746469</v>
      </c>
      <c r="AI17">
        <f t="shared" si="9"/>
        <v>0.5</v>
      </c>
      <c r="AJ17">
        <f t="shared" si="10"/>
        <v>0.41079255330280551</v>
      </c>
      <c r="AK17">
        <f t="shared" si="11"/>
        <v>4.3787629994526546E-2</v>
      </c>
      <c r="AM17">
        <f t="shared" si="12"/>
        <v>16.731047619047615</v>
      </c>
      <c r="AN17">
        <f t="shared" si="13"/>
        <v>40.728702320742265</v>
      </c>
      <c r="AO17">
        <f t="shared" si="14"/>
        <v>0.59601038509549054</v>
      </c>
      <c r="AP17">
        <f t="shared" si="15"/>
        <v>0.16775227407063759</v>
      </c>
      <c r="AQ17">
        <f t="shared" si="16"/>
        <v>0.89074090682672002</v>
      </c>
      <c r="AR17">
        <f t="shared" si="17"/>
        <v>0.58374466873512443</v>
      </c>
      <c r="AS17">
        <f t="shared" si="18"/>
        <v>4.9286637931034487E-2</v>
      </c>
    </row>
    <row r="18" spans="2:45" x14ac:dyDescent="0.2">
      <c r="B18">
        <v>79.099999999999994</v>
      </c>
      <c r="C18">
        <v>3.6436999999999999</v>
      </c>
      <c r="D18">
        <v>4.6075999999999999E-2</v>
      </c>
      <c r="E18">
        <v>20.93</v>
      </c>
      <c r="F18">
        <v>119.25</v>
      </c>
      <c r="K18">
        <v>5</v>
      </c>
      <c r="L18">
        <v>10</v>
      </c>
      <c r="M18">
        <v>117.8681</v>
      </c>
      <c r="N18">
        <v>45.756210000000003</v>
      </c>
      <c r="O18">
        <v>72.396879999999996</v>
      </c>
      <c r="P18">
        <v>3.989751</v>
      </c>
      <c r="Q18">
        <f>11/(250/250)</f>
        <v>11</v>
      </c>
      <c r="R18">
        <f t="shared" si="1"/>
        <v>459.16673159329957</v>
      </c>
      <c r="S18">
        <f t="shared" si="0"/>
        <v>178.24779898714456</v>
      </c>
      <c r="T18">
        <f t="shared" si="0"/>
        <v>282.02913907284767</v>
      </c>
      <c r="U18">
        <f t="shared" si="0"/>
        <v>15.542465913517725</v>
      </c>
      <c r="V18">
        <f t="shared" si="2"/>
        <v>4.3730164913647576</v>
      </c>
      <c r="W18">
        <f t="shared" si="2"/>
        <v>1.6975980855918529</v>
      </c>
      <c r="X18">
        <f t="shared" si="2"/>
        <v>2.6859918006937873</v>
      </c>
      <c r="Y18">
        <f t="shared" si="2"/>
        <v>0.14802348489064501</v>
      </c>
      <c r="Z18">
        <f t="shared" si="3"/>
        <v>7.9365079365079358</v>
      </c>
      <c r="AA18">
        <f t="shared" si="3"/>
        <v>15.873015873015872</v>
      </c>
      <c r="AB18">
        <f t="shared" si="4"/>
        <v>79.365079365079353</v>
      </c>
      <c r="AC18">
        <f t="shared" si="5"/>
        <v>4.6976018439109521E-2</v>
      </c>
      <c r="AE18">
        <f t="shared" si="6"/>
        <v>0.16198627047968803</v>
      </c>
      <c r="AG18">
        <f t="shared" si="7"/>
        <v>0.10270676120317793</v>
      </c>
      <c r="AH18">
        <f t="shared" si="8"/>
        <v>1.2680921771830862</v>
      </c>
      <c r="AI18">
        <f t="shared" si="9"/>
        <v>0.5</v>
      </c>
      <c r="AJ18">
        <f t="shared" si="10"/>
        <v>1.6894807606556237E-2</v>
      </c>
      <c r="AK18">
        <f t="shared" si="11"/>
        <v>5.4734537493158182E-3</v>
      </c>
      <c r="AM18">
        <f t="shared" si="12"/>
        <v>2.0913809523809519</v>
      </c>
      <c r="AN18">
        <f t="shared" si="13"/>
        <v>123.78838522963504</v>
      </c>
      <c r="AO18">
        <f t="shared" si="14"/>
        <v>0.81417417948413029</v>
      </c>
      <c r="AP18">
        <f t="shared" si="15"/>
        <v>0.58414734674559754</v>
      </c>
      <c r="AQ18">
        <f t="shared" si="16"/>
        <v>0.89074090682672002</v>
      </c>
      <c r="AR18">
        <f t="shared" si="17"/>
        <v>0.79741871715793899</v>
      </c>
      <c r="AS18">
        <f t="shared" si="18"/>
        <v>0.39429310344827589</v>
      </c>
    </row>
    <row r="19" spans="2:45" x14ac:dyDescent="0.2">
      <c r="B19">
        <v>62.8</v>
      </c>
      <c r="C19">
        <v>3.1836000000000002</v>
      </c>
      <c r="D19">
        <v>5.0675999999999999E-2</v>
      </c>
      <c r="E19">
        <v>20.93</v>
      </c>
      <c r="F19">
        <v>104.19</v>
      </c>
      <c r="K19">
        <v>5</v>
      </c>
      <c r="L19">
        <v>20</v>
      </c>
      <c r="M19">
        <v>61.834400000000002</v>
      </c>
      <c r="N19">
        <v>3.1316000000000002</v>
      </c>
      <c r="O19">
        <v>58.368600000000001</v>
      </c>
      <c r="P19">
        <v>4.1253000000000002</v>
      </c>
      <c r="Q19">
        <f>29/(250/250)</f>
        <v>29</v>
      </c>
      <c r="R19">
        <f t="shared" si="1"/>
        <v>240.88196338137905</v>
      </c>
      <c r="S19">
        <f t="shared" si="0"/>
        <v>12.199454616283601</v>
      </c>
      <c r="T19">
        <f t="shared" si="0"/>
        <v>227.38059992208807</v>
      </c>
      <c r="U19">
        <f t="shared" si="0"/>
        <v>16.070510323334634</v>
      </c>
      <c r="V19">
        <f t="shared" si="2"/>
        <v>2.2941139369655148</v>
      </c>
      <c r="W19">
        <f t="shared" si="2"/>
        <v>0.11618528205984383</v>
      </c>
      <c r="X19">
        <f t="shared" si="2"/>
        <v>2.1655295230675056</v>
      </c>
      <c r="Y19">
        <f t="shared" si="2"/>
        <v>0.15305247926985366</v>
      </c>
      <c r="Z19">
        <f t="shared" si="3"/>
        <v>7.9365079365079358</v>
      </c>
      <c r="AA19">
        <f t="shared" si="3"/>
        <v>31.746031746031743</v>
      </c>
      <c r="AB19">
        <f t="shared" si="4"/>
        <v>79.365079365079353</v>
      </c>
      <c r="AC19">
        <f t="shared" si="5"/>
        <v>4.6976018439109521E-2</v>
      </c>
      <c r="AE19">
        <f t="shared" si="6"/>
        <v>0.16198627047968803</v>
      </c>
      <c r="AG19">
        <f t="shared" si="7"/>
        <v>0.10270676120317793</v>
      </c>
      <c r="AH19">
        <f t="shared" si="8"/>
        <v>2.5361843543661724</v>
      </c>
      <c r="AI19">
        <f t="shared" si="9"/>
        <v>0.25</v>
      </c>
      <c r="AJ19">
        <f t="shared" si="10"/>
        <v>1.6894807606556237E-2</v>
      </c>
      <c r="AK19">
        <f t="shared" si="11"/>
        <v>1.0946907498631636E-2</v>
      </c>
      <c r="AM19">
        <f t="shared" si="12"/>
        <v>2.0913809523809519</v>
      </c>
      <c r="AN19">
        <f t="shared" si="13"/>
        <v>123.78838522963504</v>
      </c>
      <c r="AO19">
        <f t="shared" si="14"/>
        <v>0.36183638031463344</v>
      </c>
      <c r="AP19">
        <f t="shared" si="15"/>
        <v>0.25960754693884758</v>
      </c>
      <c r="AQ19">
        <f t="shared" si="16"/>
        <v>0.3877174990944508</v>
      </c>
      <c r="AR19">
        <f t="shared" si="17"/>
        <v>0.34709665670235818</v>
      </c>
      <c r="AS19">
        <f t="shared" si="18"/>
        <v>9.8573275862068974E-2</v>
      </c>
    </row>
    <row r="20" spans="2:45" x14ac:dyDescent="0.2">
      <c r="B20">
        <v>49.9</v>
      </c>
      <c r="C20">
        <v>2.7698</v>
      </c>
      <c r="D20">
        <v>5.5499E-2</v>
      </c>
      <c r="E20">
        <v>20.93</v>
      </c>
      <c r="F20">
        <v>90.65</v>
      </c>
      <c r="K20">
        <v>5</v>
      </c>
      <c r="L20">
        <v>30</v>
      </c>
      <c r="M20">
        <v>40.670499999999997</v>
      </c>
      <c r="N20">
        <v>2.3666999999999998</v>
      </c>
      <c r="O20">
        <v>39.558199999999999</v>
      </c>
      <c r="P20">
        <v>2.3877000000000002</v>
      </c>
      <c r="Q20">
        <f>34/(250/500)</f>
        <v>68</v>
      </c>
      <c r="R20">
        <f t="shared" si="1"/>
        <v>158.43591741332295</v>
      </c>
      <c r="S20">
        <f t="shared" si="1"/>
        <v>9.2197117257499031</v>
      </c>
      <c r="T20">
        <f t="shared" si="1"/>
        <v>154.10284378652125</v>
      </c>
      <c r="U20">
        <f t="shared" si="1"/>
        <v>9.3015192832099736</v>
      </c>
      <c r="V20">
        <f t="shared" si="2"/>
        <v>1.5089134991745043</v>
      </c>
      <c r="W20">
        <f t="shared" si="2"/>
        <v>8.7806778340475261E-2</v>
      </c>
      <c r="X20">
        <f t="shared" si="2"/>
        <v>1.4676461313002023</v>
      </c>
      <c r="Y20">
        <f t="shared" si="2"/>
        <v>8.8585897935333086E-2</v>
      </c>
      <c r="Z20">
        <f t="shared" si="3"/>
        <v>7.9365079365079358</v>
      </c>
      <c r="AA20">
        <f t="shared" si="3"/>
        <v>47.619047619047613</v>
      </c>
      <c r="AB20">
        <f t="shared" si="4"/>
        <v>79.365079365079353</v>
      </c>
      <c r="AC20">
        <f t="shared" si="5"/>
        <v>4.6976018439109521E-2</v>
      </c>
      <c r="AE20">
        <f t="shared" si="6"/>
        <v>0.16198627047968803</v>
      </c>
      <c r="AG20">
        <f t="shared" si="7"/>
        <v>0.10270676120317793</v>
      </c>
      <c r="AH20">
        <f t="shared" si="8"/>
        <v>3.8042765315492586</v>
      </c>
      <c r="AI20">
        <f t="shared" si="9"/>
        <v>0.16666666666666666</v>
      </c>
      <c r="AJ20">
        <f t="shared" si="10"/>
        <v>1.6894807606556237E-2</v>
      </c>
      <c r="AK20">
        <f t="shared" si="11"/>
        <v>1.6420361247947456E-2</v>
      </c>
      <c r="AM20">
        <f t="shared" si="12"/>
        <v>2.0913809523809519</v>
      </c>
      <c r="AN20">
        <f t="shared" si="13"/>
        <v>123.78838522963504</v>
      </c>
      <c r="AO20">
        <f t="shared" si="14"/>
        <v>0.22515700189857335</v>
      </c>
      <c r="AP20">
        <f t="shared" si="15"/>
        <v>0.16154389143559023</v>
      </c>
      <c r="AQ20">
        <f t="shared" si="16"/>
        <v>0.23834491555660173</v>
      </c>
      <c r="AR20">
        <f t="shared" si="17"/>
        <v>0.21337371546273454</v>
      </c>
      <c r="AS20">
        <f t="shared" si="18"/>
        <v>4.3810344827586209E-2</v>
      </c>
    </row>
    <row r="21" spans="2:45" x14ac:dyDescent="0.2">
      <c r="B21">
        <v>39.6</v>
      </c>
      <c r="C21">
        <v>2.3965000000000001</v>
      </c>
      <c r="D21">
        <v>6.0442999999999997E-2</v>
      </c>
      <c r="E21">
        <v>20.93</v>
      </c>
      <c r="F21">
        <v>78.430999999999997</v>
      </c>
      <c r="K21">
        <v>5</v>
      </c>
      <c r="L21">
        <v>40</v>
      </c>
      <c r="M21">
        <v>30.074400000000001</v>
      </c>
      <c r="N21">
        <v>1.7571000000000001</v>
      </c>
      <c r="O21">
        <v>29.152699999999999</v>
      </c>
      <c r="P21">
        <v>1.8509</v>
      </c>
      <c r="Q21">
        <f>32/(250/1000)</f>
        <v>128</v>
      </c>
      <c r="R21">
        <f t="shared" si="1"/>
        <v>117.15777171795871</v>
      </c>
      <c r="S21">
        <f t="shared" si="1"/>
        <v>6.8449552006232963</v>
      </c>
      <c r="T21">
        <f t="shared" si="1"/>
        <v>113.56719906505649</v>
      </c>
      <c r="U21">
        <f t="shared" si="1"/>
        <v>7.2103622906116094</v>
      </c>
      <c r="V21">
        <f t="shared" si="2"/>
        <v>1.1157883020757973</v>
      </c>
      <c r="W21">
        <f t="shared" si="2"/>
        <v>6.5190049529745678E-2</v>
      </c>
      <c r="X21">
        <f t="shared" si="2"/>
        <v>1.0815923720481571</v>
      </c>
      <c r="Y21">
        <f t="shared" si="2"/>
        <v>6.8670117053443905E-2</v>
      </c>
      <c r="Z21">
        <f t="shared" si="3"/>
        <v>7.9365079365079358</v>
      </c>
      <c r="AA21">
        <f t="shared" si="3"/>
        <v>63.492063492063487</v>
      </c>
      <c r="AB21">
        <f t="shared" si="4"/>
        <v>79.365079365079353</v>
      </c>
      <c r="AC21">
        <f t="shared" si="5"/>
        <v>4.6976018439109521E-2</v>
      </c>
      <c r="AE21">
        <f t="shared" si="6"/>
        <v>0.16198627047968803</v>
      </c>
      <c r="AG21">
        <f t="shared" si="7"/>
        <v>0.10270676120317793</v>
      </c>
      <c r="AH21">
        <f t="shared" si="8"/>
        <v>5.0723687087323448</v>
      </c>
      <c r="AI21">
        <f t="shared" si="9"/>
        <v>0.125</v>
      </c>
      <c r="AJ21">
        <f t="shared" si="10"/>
        <v>1.6894807606556237E-2</v>
      </c>
      <c r="AK21">
        <f t="shared" si="11"/>
        <v>2.1893814997263273E-2</v>
      </c>
      <c r="AM21">
        <f t="shared" si="12"/>
        <v>2.0913809523809519</v>
      </c>
      <c r="AN21">
        <f t="shared" si="13"/>
        <v>123.78838522963504</v>
      </c>
      <c r="AO21">
        <f t="shared" si="14"/>
        <v>0.16080780921123278</v>
      </c>
      <c r="AP21">
        <f t="shared" si="15"/>
        <v>0.11537513403610075</v>
      </c>
      <c r="AQ21">
        <f t="shared" si="16"/>
        <v>0.16876384361821931</v>
      </c>
      <c r="AR21">
        <f t="shared" si="17"/>
        <v>0.15108259500521967</v>
      </c>
      <c r="AS21">
        <f t="shared" si="18"/>
        <v>2.4643318965517243E-2</v>
      </c>
    </row>
    <row r="22" spans="2:45" x14ac:dyDescent="0.2">
      <c r="B22">
        <v>31.5</v>
      </c>
      <c r="C22">
        <v>2.0651999999999999</v>
      </c>
      <c r="D22">
        <v>6.5562999999999996E-2</v>
      </c>
      <c r="E22">
        <v>20.93</v>
      </c>
      <c r="F22">
        <v>67.587999999999994</v>
      </c>
      <c r="K22">
        <v>5</v>
      </c>
      <c r="L22">
        <v>50</v>
      </c>
      <c r="M22">
        <v>26.8794</v>
      </c>
      <c r="N22">
        <v>1.0926</v>
      </c>
      <c r="O22">
        <v>25.689299999999999</v>
      </c>
      <c r="P22">
        <v>1.6868000000000001</v>
      </c>
      <c r="Q22">
        <f>45/(250/1000)</f>
        <v>180</v>
      </c>
      <c r="R22">
        <f t="shared" si="1"/>
        <v>104.71133619010519</v>
      </c>
      <c r="S22">
        <f t="shared" si="1"/>
        <v>4.2563303467082196</v>
      </c>
      <c r="T22">
        <f t="shared" si="1"/>
        <v>100.07518504090378</v>
      </c>
      <c r="U22">
        <f t="shared" si="1"/>
        <v>6.5710946630307756</v>
      </c>
      <c r="V22">
        <f t="shared" si="2"/>
        <v>0.99725082085814465</v>
      </c>
      <c r="W22">
        <f t="shared" si="2"/>
        <v>4.0536479492459233E-2</v>
      </c>
      <c r="X22">
        <f t="shared" si="2"/>
        <v>0.9530970003895598</v>
      </c>
      <c r="Y22">
        <f t="shared" si="2"/>
        <v>6.2581853933626433E-2</v>
      </c>
      <c r="Z22">
        <f t="shared" si="3"/>
        <v>7.9365079365079358</v>
      </c>
      <c r="AA22">
        <f t="shared" si="3"/>
        <v>79.365079365079353</v>
      </c>
      <c r="AB22">
        <f t="shared" si="4"/>
        <v>79.365079365079353</v>
      </c>
      <c r="AC22">
        <f t="shared" si="5"/>
        <v>4.6976018439109521E-2</v>
      </c>
      <c r="AE22">
        <f t="shared" si="6"/>
        <v>0.16198627047968803</v>
      </c>
      <c r="AG22">
        <f t="shared" si="7"/>
        <v>0.10270676120317793</v>
      </c>
      <c r="AH22">
        <f t="shared" si="8"/>
        <v>6.3404608859154301</v>
      </c>
      <c r="AI22">
        <f t="shared" si="9"/>
        <v>0.1</v>
      </c>
      <c r="AJ22">
        <f t="shared" si="10"/>
        <v>1.6894807606556237E-2</v>
      </c>
      <c r="AK22">
        <f t="shared" si="11"/>
        <v>2.736726874657909E-2</v>
      </c>
      <c r="AM22">
        <f t="shared" si="12"/>
        <v>2.0913809523809519</v>
      </c>
      <c r="AN22">
        <f t="shared" si="13"/>
        <v>123.78838522963504</v>
      </c>
      <c r="AO22">
        <f t="shared" si="14"/>
        <v>0.12385753146563888</v>
      </c>
      <c r="AP22">
        <f t="shared" si="15"/>
        <v>8.8864336653312601E-2</v>
      </c>
      <c r="AQ22">
        <f t="shared" si="16"/>
        <v>0.12911817897476713</v>
      </c>
      <c r="AR22">
        <f t="shared" si="17"/>
        <v>0.11559057392640611</v>
      </c>
      <c r="AS22">
        <f t="shared" si="18"/>
        <v>1.5771724137931039E-2</v>
      </c>
    </row>
    <row r="23" spans="2:45" x14ac:dyDescent="0.2">
      <c r="B23">
        <v>25</v>
      </c>
      <c r="C23">
        <v>1.7698</v>
      </c>
      <c r="D23">
        <v>7.0725999999999997E-2</v>
      </c>
      <c r="E23">
        <v>20.93</v>
      </c>
      <c r="F23">
        <v>57.920999999999999</v>
      </c>
      <c r="K23">
        <v>5</v>
      </c>
      <c r="L23">
        <v>60</v>
      </c>
      <c r="M23">
        <v>31.970700000000001</v>
      </c>
      <c r="N23">
        <v>1.3564000000000001</v>
      </c>
      <c r="O23">
        <v>30.981100000000001</v>
      </c>
      <c r="P23">
        <v>1.2222999999999999</v>
      </c>
      <c r="Q23">
        <f>42/(250/1000)</f>
        <v>168</v>
      </c>
      <c r="R23">
        <f t="shared" si="1"/>
        <v>124.54499415660305</v>
      </c>
      <c r="S23">
        <f t="shared" si="1"/>
        <v>5.2839890923256725</v>
      </c>
      <c r="T23">
        <f t="shared" si="1"/>
        <v>120.68991040124661</v>
      </c>
      <c r="U23">
        <f t="shared" si="1"/>
        <v>4.7615894039735096</v>
      </c>
      <c r="V23">
        <f t="shared" si="2"/>
        <v>1.1861428014914577</v>
      </c>
      <c r="W23">
        <f t="shared" si="2"/>
        <v>5.0323705641196884E-2</v>
      </c>
      <c r="X23">
        <f t="shared" si="2"/>
        <v>1.1494277181071106</v>
      </c>
      <c r="Y23">
        <f t="shared" si="2"/>
        <v>4.5348470514033422E-2</v>
      </c>
      <c r="Z23">
        <f t="shared" si="3"/>
        <v>7.9365079365079358</v>
      </c>
      <c r="AA23">
        <f t="shared" si="3"/>
        <v>95.238095238095227</v>
      </c>
      <c r="AB23">
        <f t="shared" si="4"/>
        <v>79.365079365079353</v>
      </c>
      <c r="AC23">
        <f t="shared" si="5"/>
        <v>4.6976018439109521E-2</v>
      </c>
      <c r="AE23">
        <f t="shared" si="6"/>
        <v>0.16198627047968803</v>
      </c>
      <c r="AG23">
        <f t="shared" si="7"/>
        <v>0.10270676120317793</v>
      </c>
      <c r="AH23">
        <f t="shared" si="8"/>
        <v>7.6085530630985172</v>
      </c>
      <c r="AI23">
        <f t="shared" si="9"/>
        <v>8.3333333333333329E-2</v>
      </c>
      <c r="AJ23">
        <f t="shared" si="10"/>
        <v>1.6894807606556237E-2</v>
      </c>
      <c r="AK23">
        <f t="shared" si="11"/>
        <v>3.2840722495894911E-2</v>
      </c>
      <c r="AM23">
        <f t="shared" si="12"/>
        <v>2.0913809523809519</v>
      </c>
      <c r="AN23">
        <f t="shared" si="13"/>
        <v>123.78838522963504</v>
      </c>
      <c r="AO23">
        <f t="shared" si="14"/>
        <v>0.10006457662547726</v>
      </c>
      <c r="AP23">
        <f t="shared" si="15"/>
        <v>7.1793552794845686E-2</v>
      </c>
      <c r="AQ23">
        <f t="shared" si="16"/>
        <v>0.1037456502482834</v>
      </c>
      <c r="AR23">
        <f t="shared" si="17"/>
        <v>9.2876304094335227E-2</v>
      </c>
      <c r="AS23">
        <f t="shared" si="18"/>
        <v>1.0952586206896552E-2</v>
      </c>
    </row>
    <row r="24" spans="2:45" x14ac:dyDescent="0.2">
      <c r="B24">
        <v>19.899999999999999</v>
      </c>
      <c r="C24">
        <v>1.5068999999999999</v>
      </c>
      <c r="D24">
        <v>7.5798000000000004E-2</v>
      </c>
      <c r="E24">
        <v>20.93</v>
      </c>
      <c r="F24">
        <v>49.317999999999998</v>
      </c>
      <c r="K24">
        <v>5</v>
      </c>
      <c r="L24">
        <v>70</v>
      </c>
      <c r="M24">
        <v>31.516999999999999</v>
      </c>
      <c r="N24">
        <v>0.82269999999999999</v>
      </c>
      <c r="O24">
        <v>30.924399999999999</v>
      </c>
      <c r="P24">
        <v>0.82799999999999996</v>
      </c>
      <c r="Q24">
        <f>47/(250/1000)</f>
        <v>188</v>
      </c>
      <c r="R24">
        <f t="shared" si="1"/>
        <v>122.7775613556681</v>
      </c>
      <c r="S24">
        <f t="shared" si="1"/>
        <v>3.2049084534476044</v>
      </c>
      <c r="T24">
        <f t="shared" si="1"/>
        <v>120.46902999610441</v>
      </c>
      <c r="U24">
        <f t="shared" si="1"/>
        <v>3.2255551227113362</v>
      </c>
      <c r="V24">
        <f t="shared" si="2"/>
        <v>1.1693101081492199</v>
      </c>
      <c r="W24">
        <f t="shared" si="2"/>
        <v>3.0522937651881948E-2</v>
      </c>
      <c r="X24">
        <f t="shared" si="2"/>
        <v>1.1473240952009944</v>
      </c>
      <c r="Y24">
        <f t="shared" si="2"/>
        <v>3.0719572597250819E-2</v>
      </c>
      <c r="Z24">
        <f t="shared" si="3"/>
        <v>7.9365079365079358</v>
      </c>
      <c r="AA24">
        <f t="shared" si="3"/>
        <v>111.1111111111111</v>
      </c>
      <c r="AB24">
        <f t="shared" si="4"/>
        <v>79.365079365079353</v>
      </c>
      <c r="AC24">
        <f t="shared" si="5"/>
        <v>4.6976018439109521E-2</v>
      </c>
      <c r="AE24">
        <f t="shared" si="6"/>
        <v>0.16198627047968803</v>
      </c>
      <c r="AG24">
        <f t="shared" si="7"/>
        <v>0.10270676120317793</v>
      </c>
      <c r="AH24">
        <f t="shared" si="8"/>
        <v>8.8766452402816043</v>
      </c>
      <c r="AI24">
        <f t="shared" si="9"/>
        <v>7.1428571428571425E-2</v>
      </c>
      <c r="AJ24">
        <f t="shared" si="10"/>
        <v>1.6894807606556237E-2</v>
      </c>
      <c r="AK24">
        <f t="shared" si="11"/>
        <v>3.8314176245210725E-2</v>
      </c>
      <c r="AM24">
        <f t="shared" si="12"/>
        <v>2.0913809523809519</v>
      </c>
      <c r="AN24">
        <f t="shared" si="13"/>
        <v>123.78838522963504</v>
      </c>
      <c r="AO24">
        <f t="shared" si="14"/>
        <v>8.3551185865837888E-2</v>
      </c>
      <c r="AP24">
        <f t="shared" si="15"/>
        <v>5.9945653854930177E-2</v>
      </c>
      <c r="AQ24">
        <f t="shared" si="16"/>
        <v>8.6225108496860936E-2</v>
      </c>
      <c r="AR24">
        <f t="shared" si="17"/>
        <v>7.7191375042290095E-2</v>
      </c>
      <c r="AS24">
        <f t="shared" si="18"/>
        <v>8.0467980295566496E-3</v>
      </c>
    </row>
    <row r="25" spans="2:45" x14ac:dyDescent="0.2">
      <c r="B25">
        <v>15.8</v>
      </c>
      <c r="C25">
        <v>1.2769999999999999</v>
      </c>
      <c r="D25">
        <v>8.0857999999999999E-2</v>
      </c>
      <c r="E25">
        <v>20.93</v>
      </c>
      <c r="F25">
        <v>41.793999999999997</v>
      </c>
      <c r="K25">
        <v>5</v>
      </c>
      <c r="L25">
        <v>80</v>
      </c>
      <c r="M25">
        <v>20.735399999999998</v>
      </c>
      <c r="N25">
        <v>0.95709999999999995</v>
      </c>
      <c r="O25">
        <v>19.4664</v>
      </c>
      <c r="P25">
        <v>0.8095</v>
      </c>
      <c r="Q25">
        <f>119/(250/1000)</f>
        <v>476</v>
      </c>
      <c r="R25">
        <f t="shared" si="1"/>
        <v>80.776782236073231</v>
      </c>
      <c r="S25">
        <f t="shared" si="1"/>
        <v>3.7284768211920531</v>
      </c>
      <c r="T25">
        <f t="shared" si="1"/>
        <v>75.833268406700441</v>
      </c>
      <c r="U25">
        <f t="shared" si="1"/>
        <v>3.1534865601869888</v>
      </c>
      <c r="V25">
        <f t="shared" si="2"/>
        <v>0.76930268796260215</v>
      </c>
      <c r="W25">
        <f t="shared" si="2"/>
        <v>3.5509303058971937E-2</v>
      </c>
      <c r="X25">
        <f t="shared" si="2"/>
        <v>0.72222160387333756</v>
      </c>
      <c r="Y25">
        <f t="shared" si="2"/>
        <v>3.003320533511418E-2</v>
      </c>
      <c r="Z25">
        <f t="shared" si="3"/>
        <v>7.9365079365079358</v>
      </c>
      <c r="AA25">
        <f t="shared" si="3"/>
        <v>126.98412698412697</v>
      </c>
      <c r="AB25">
        <f t="shared" si="4"/>
        <v>79.365079365079353</v>
      </c>
      <c r="AC25">
        <f t="shared" si="5"/>
        <v>4.6976018439109521E-2</v>
      </c>
      <c r="AE25">
        <f t="shared" si="6"/>
        <v>0.16198627047968803</v>
      </c>
      <c r="AG25">
        <f t="shared" si="7"/>
        <v>0.10270676120317793</v>
      </c>
      <c r="AH25">
        <f t="shared" si="8"/>
        <v>10.14473741746469</v>
      </c>
      <c r="AI25">
        <f t="shared" si="9"/>
        <v>6.25E-2</v>
      </c>
      <c r="AJ25">
        <f t="shared" si="10"/>
        <v>1.6894807606556237E-2</v>
      </c>
      <c r="AK25">
        <f t="shared" si="11"/>
        <v>4.3787629994526546E-2</v>
      </c>
      <c r="AM25">
        <f t="shared" si="12"/>
        <v>2.0913809523809519</v>
      </c>
      <c r="AN25">
        <f t="shared" si="13"/>
        <v>123.78838522963504</v>
      </c>
      <c r="AO25">
        <f t="shared" si="14"/>
        <v>7.1466422145917197E-2</v>
      </c>
      <c r="AP25">
        <f t="shared" si="15"/>
        <v>5.1275171738300089E-2</v>
      </c>
      <c r="AQ25">
        <f t="shared" si="16"/>
        <v>7.3458729562929925E-2</v>
      </c>
      <c r="AR25">
        <f t="shared" si="17"/>
        <v>6.5762519093017113E-2</v>
      </c>
      <c r="AS25">
        <f t="shared" si="18"/>
        <v>6.1608297413793109E-3</v>
      </c>
    </row>
    <row r="26" spans="2:45" x14ac:dyDescent="0.2">
      <c r="B26">
        <v>12.5</v>
      </c>
      <c r="C26">
        <v>1.077</v>
      </c>
      <c r="D26">
        <v>8.5833000000000007E-2</v>
      </c>
      <c r="E26">
        <v>20.93</v>
      </c>
      <c r="F26">
        <v>35.247</v>
      </c>
    </row>
    <row r="27" spans="2:45" x14ac:dyDescent="0.2">
      <c r="B27">
        <v>9.9700000000000006</v>
      </c>
      <c r="C27">
        <v>0.90046999999999999</v>
      </c>
      <c r="D27">
        <v>9.0345999999999996E-2</v>
      </c>
      <c r="E27">
        <v>20.93</v>
      </c>
      <c r="F27">
        <v>29.471</v>
      </c>
    </row>
    <row r="28" spans="2:45" x14ac:dyDescent="0.2">
      <c r="B28">
        <v>7.92</v>
      </c>
      <c r="C28">
        <v>0.74968999999999997</v>
      </c>
      <c r="D28">
        <v>9.4663999999999998E-2</v>
      </c>
      <c r="E28">
        <v>20.93</v>
      </c>
      <c r="F28">
        <v>24.536000000000001</v>
      </c>
    </row>
    <row r="29" spans="2:45" x14ac:dyDescent="0.2">
      <c r="B29">
        <v>6.3</v>
      </c>
      <c r="C29">
        <v>0.62275000000000003</v>
      </c>
      <c r="D29">
        <v>9.8860000000000003E-2</v>
      </c>
      <c r="E29">
        <v>20.93</v>
      </c>
      <c r="F29">
        <v>20.381</v>
      </c>
    </row>
    <row r="30" spans="2:45" x14ac:dyDescent="0.2">
      <c r="B30">
        <v>5</v>
      </c>
      <c r="C30">
        <v>0.51270000000000004</v>
      </c>
      <c r="D30">
        <v>0.10246</v>
      </c>
      <c r="E30">
        <v>20.93</v>
      </c>
      <c r="F30">
        <v>16.78</v>
      </c>
    </row>
    <row r="31" spans="2:45" x14ac:dyDescent="0.2">
      <c r="B31">
        <v>3.97</v>
      </c>
      <c r="C31">
        <v>0.42079</v>
      </c>
      <c r="D31">
        <v>0.10586</v>
      </c>
      <c r="E31">
        <v>20.92</v>
      </c>
      <c r="F31">
        <v>13.771000000000001</v>
      </c>
    </row>
    <row r="32" spans="2:45" x14ac:dyDescent="0.2">
      <c r="B32">
        <v>3.16</v>
      </c>
      <c r="C32">
        <v>0.34355000000000002</v>
      </c>
      <c r="D32">
        <v>0.10879</v>
      </c>
      <c r="E32">
        <v>20.92</v>
      </c>
      <c r="F32">
        <v>11.244</v>
      </c>
    </row>
    <row r="33" spans="2:6" x14ac:dyDescent="0.2">
      <c r="B33">
        <v>2.5099999999999998</v>
      </c>
      <c r="C33">
        <v>0.27745999999999998</v>
      </c>
      <c r="D33">
        <v>0.11063000000000001</v>
      </c>
      <c r="E33">
        <v>20.92</v>
      </c>
      <c r="F33">
        <v>9.0808</v>
      </c>
    </row>
    <row r="34" spans="2:6" x14ac:dyDescent="0.2">
      <c r="B34">
        <v>1.99</v>
      </c>
      <c r="C34">
        <v>0.22419</v>
      </c>
      <c r="D34">
        <v>0.11254</v>
      </c>
      <c r="E34">
        <v>20.92</v>
      </c>
      <c r="F34">
        <v>7.3372999999999999</v>
      </c>
    </row>
    <row r="35" spans="2:6" x14ac:dyDescent="0.2">
      <c r="B35">
        <v>1.58</v>
      </c>
      <c r="C35">
        <v>0.18099000000000001</v>
      </c>
      <c r="D35">
        <v>0.11430999999999999</v>
      </c>
      <c r="E35">
        <v>20.92</v>
      </c>
      <c r="F35">
        <v>5.9233000000000002</v>
      </c>
    </row>
    <row r="36" spans="2:6" x14ac:dyDescent="0.2">
      <c r="B36">
        <v>1.26</v>
      </c>
      <c r="C36">
        <v>0.14448</v>
      </c>
      <c r="D36">
        <v>0.11495</v>
      </c>
      <c r="E36">
        <v>20.92</v>
      </c>
      <c r="F36">
        <v>4.7283999999999997</v>
      </c>
    </row>
    <row r="37" spans="2:6" x14ac:dyDescent="0.2">
      <c r="B37">
        <v>0.998</v>
      </c>
      <c r="C37">
        <v>0.11594</v>
      </c>
      <c r="D37">
        <v>0.11613999999999999</v>
      </c>
      <c r="E37">
        <v>20.92</v>
      </c>
      <c r="F37">
        <v>3.7942999999999998</v>
      </c>
    </row>
    <row r="38" spans="2:6" x14ac:dyDescent="0.2">
      <c r="B38">
        <v>0.79300000000000004</v>
      </c>
      <c r="C38">
        <v>9.3322000000000002E-2</v>
      </c>
      <c r="D38">
        <v>0.11765</v>
      </c>
      <c r="E38">
        <v>20.92</v>
      </c>
      <c r="F38">
        <v>3.0541999999999998</v>
      </c>
    </row>
    <row r="39" spans="2:6" x14ac:dyDescent="0.2">
      <c r="B39">
        <v>0.63100000000000001</v>
      </c>
      <c r="C39">
        <v>7.4329999999999993E-2</v>
      </c>
      <c r="D39">
        <v>0.11776</v>
      </c>
      <c r="E39">
        <v>20.92</v>
      </c>
      <c r="F39">
        <v>2.4325999999999999</v>
      </c>
    </row>
    <row r="40" spans="2:6" x14ac:dyDescent="0.2">
      <c r="B40">
        <v>0.501</v>
      </c>
      <c r="C40">
        <v>5.9464999999999997E-2</v>
      </c>
      <c r="D40">
        <v>0.1188</v>
      </c>
      <c r="E40">
        <v>20.92</v>
      </c>
      <c r="F40">
        <v>1.9461999999999999</v>
      </c>
    </row>
    <row r="41" spans="2:6" x14ac:dyDescent="0.2">
      <c r="B41">
        <v>0.39800000000000002</v>
      </c>
      <c r="C41">
        <v>4.7583E-2</v>
      </c>
      <c r="D41">
        <v>0.11967999999999999</v>
      </c>
      <c r="E41">
        <v>20.92</v>
      </c>
      <c r="F41">
        <v>1.5572999999999999</v>
      </c>
    </row>
    <row r="42" spans="2:6" x14ac:dyDescent="0.2">
      <c r="B42">
        <v>0.317</v>
      </c>
      <c r="C42">
        <v>3.7242999999999998E-2</v>
      </c>
      <c r="D42">
        <v>0.11751</v>
      </c>
      <c r="E42">
        <v>20.92</v>
      </c>
      <c r="F42">
        <v>1.2189000000000001</v>
      </c>
    </row>
    <row r="43" spans="2:6" x14ac:dyDescent="0.2">
      <c r="B43">
        <v>0.252</v>
      </c>
      <c r="C43">
        <v>2.9618999999999999E-2</v>
      </c>
      <c r="D43">
        <v>0.11749999999999999</v>
      </c>
      <c r="E43">
        <v>20.92</v>
      </c>
      <c r="F43">
        <v>0.96936</v>
      </c>
    </row>
    <row r="44" spans="2:6" x14ac:dyDescent="0.2">
      <c r="B44">
        <v>0.2</v>
      </c>
      <c r="C44">
        <v>2.5245E-2</v>
      </c>
      <c r="D44">
        <v>0.12642999999999999</v>
      </c>
      <c r="E44">
        <v>20.92</v>
      </c>
      <c r="F44">
        <v>0.82621999999999995</v>
      </c>
    </row>
    <row r="45" spans="2:6" x14ac:dyDescent="0.2">
      <c r="B45">
        <v>0.159</v>
      </c>
      <c r="C45">
        <v>2.0494999999999999E-2</v>
      </c>
      <c r="D45">
        <v>0.12916</v>
      </c>
      <c r="E45">
        <v>20.92</v>
      </c>
      <c r="F45">
        <v>0.67076999999999998</v>
      </c>
    </row>
    <row r="46" spans="2:6" x14ac:dyDescent="0.2">
      <c r="B46">
        <v>0.126</v>
      </c>
      <c r="C46">
        <v>1.5446E-2</v>
      </c>
      <c r="D46">
        <v>0.12256</v>
      </c>
      <c r="E46">
        <v>20.92</v>
      </c>
      <c r="F46">
        <v>0.50553000000000003</v>
      </c>
    </row>
    <row r="47" spans="2:6" x14ac:dyDescent="0.2">
      <c r="B47">
        <v>0.1</v>
      </c>
      <c r="C47">
        <v>1.141E-2</v>
      </c>
      <c r="D47">
        <v>0.11405999999999999</v>
      </c>
      <c r="E47">
        <v>20.92</v>
      </c>
      <c r="F47">
        <v>0.37341000000000002</v>
      </c>
    </row>
    <row r="50" spans="2:2" x14ac:dyDescent="0.2">
      <c r="B50" s="3" t="s">
        <v>28</v>
      </c>
    </row>
    <row r="51" spans="2:2" x14ac:dyDescent="0.2">
      <c r="B51" s="3" t="s">
        <v>63</v>
      </c>
    </row>
  </sheetData>
  <mergeCells count="1">
    <mergeCell ref="B2:G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4C1F4-215A-7342-9763-DD9B8AD8CAB7}">
  <dimension ref="B2:AS63"/>
  <sheetViews>
    <sheetView topLeftCell="Z1" workbookViewId="0">
      <selection activeCell="AS4" sqref="AS4:AS31"/>
    </sheetView>
  </sheetViews>
  <sheetFormatPr baseColWidth="10" defaultRowHeight="16" x14ac:dyDescent="0.2"/>
  <cols>
    <col min="2" max="2" width="26.33203125" customWidth="1"/>
    <col min="9" max="9" width="16.5" bestFit="1" customWidth="1"/>
    <col min="16" max="16" width="11.6640625" bestFit="1" customWidth="1"/>
    <col min="17" max="17" width="13.1640625" bestFit="1" customWidth="1"/>
    <col min="25" max="25" width="11.1640625" bestFit="1" customWidth="1"/>
    <col min="28" max="28" width="16.33203125" customWidth="1"/>
    <col min="31" max="31" width="19.33203125" customWidth="1"/>
    <col min="32" max="32" width="23" bestFit="1" customWidth="1"/>
    <col min="41" max="41" width="23.1640625" bestFit="1" customWidth="1"/>
    <col min="42" max="42" width="33.33203125" bestFit="1" customWidth="1"/>
    <col min="43" max="43" width="16" bestFit="1" customWidth="1"/>
    <col min="44" max="44" width="21.6640625" bestFit="1" customWidth="1"/>
  </cols>
  <sheetData>
    <row r="2" spans="2:45" x14ac:dyDescent="0.2">
      <c r="B2" s="8" t="s">
        <v>12</v>
      </c>
      <c r="C2" s="8"/>
      <c r="D2" s="8"/>
      <c r="E2" s="8"/>
      <c r="F2" s="8"/>
      <c r="G2" s="8"/>
    </row>
    <row r="3" spans="2:45" x14ac:dyDescent="0.2"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I3" t="s">
        <v>19</v>
      </c>
      <c r="J3" t="s">
        <v>13</v>
      </c>
      <c r="K3" t="s">
        <v>14</v>
      </c>
      <c r="L3" t="s">
        <v>15</v>
      </c>
      <c r="M3" t="s">
        <v>16</v>
      </c>
      <c r="N3" t="s">
        <v>20</v>
      </c>
      <c r="O3" t="s">
        <v>17</v>
      </c>
      <c r="P3" t="s">
        <v>21</v>
      </c>
      <c r="Q3" t="s">
        <v>27</v>
      </c>
      <c r="R3" t="s">
        <v>18</v>
      </c>
      <c r="S3" t="s">
        <v>22</v>
      </c>
      <c r="T3" t="s">
        <v>23</v>
      </c>
      <c r="U3" t="s">
        <v>24</v>
      </c>
      <c r="V3" s="4" t="s">
        <v>25</v>
      </c>
      <c r="W3" s="4" t="s">
        <v>26</v>
      </c>
      <c r="X3" s="4" t="s">
        <v>38</v>
      </c>
      <c r="Y3" s="4" t="s">
        <v>39</v>
      </c>
      <c r="Z3" t="s">
        <v>32</v>
      </c>
      <c r="AA3" t="s">
        <v>33</v>
      </c>
      <c r="AB3" t="s">
        <v>31</v>
      </c>
      <c r="AC3" t="s">
        <v>29</v>
      </c>
      <c r="AD3" t="s">
        <v>30</v>
      </c>
      <c r="AE3" s="4" t="s">
        <v>34</v>
      </c>
      <c r="AF3" t="s">
        <v>35</v>
      </c>
      <c r="AG3" s="4" t="s">
        <v>37</v>
      </c>
      <c r="AH3" s="4" t="s">
        <v>36</v>
      </c>
      <c r="AI3" s="4" t="s">
        <v>40</v>
      </c>
      <c r="AJ3" s="4" t="s">
        <v>41</v>
      </c>
      <c r="AK3" s="4" t="s">
        <v>42</v>
      </c>
      <c r="AL3" t="s">
        <v>45</v>
      </c>
      <c r="AM3" s="4" t="s">
        <v>43</v>
      </c>
      <c r="AN3" s="4" t="s">
        <v>44</v>
      </c>
      <c r="AO3" s="4" t="s">
        <v>57</v>
      </c>
      <c r="AP3" s="4" t="s">
        <v>58</v>
      </c>
      <c r="AQ3" s="4" t="s">
        <v>59</v>
      </c>
      <c r="AR3" s="4" t="s">
        <v>60</v>
      </c>
      <c r="AS3" s="4" t="s">
        <v>61</v>
      </c>
    </row>
    <row r="4" spans="2:45" x14ac:dyDescent="0.2">
      <c r="I4">
        <v>100</v>
      </c>
      <c r="J4">
        <v>105</v>
      </c>
      <c r="K4">
        <v>10</v>
      </c>
      <c r="L4">
        <v>100</v>
      </c>
      <c r="M4">
        <v>42.7149</v>
      </c>
      <c r="N4">
        <v>7.0874800000000002</v>
      </c>
      <c r="O4">
        <v>39.571429999999999</v>
      </c>
      <c r="P4">
        <v>4.2761800000000001</v>
      </c>
      <c r="Q4">
        <f>24/(250/2000)</f>
        <v>192</v>
      </c>
      <c r="R4">
        <f>M4/0.2567</f>
        <v>166.4000779119595</v>
      </c>
      <c r="S4">
        <f t="shared" ref="S4:U4" si="0">N4/0.2567</f>
        <v>27.609972730814182</v>
      </c>
      <c r="T4">
        <f t="shared" si="0"/>
        <v>154.15438254772107</v>
      </c>
      <c r="U4">
        <f t="shared" si="0"/>
        <v>16.658278145695366</v>
      </c>
      <c r="V4">
        <f>R4/$J$4</f>
        <v>1.5847626467805667</v>
      </c>
      <c r="W4">
        <f>S4/$J$4</f>
        <v>0.26295212124584932</v>
      </c>
      <c r="X4">
        <f>T4/$J$4</f>
        <v>1.4681369766449626</v>
      </c>
      <c r="Y4">
        <f>U4/$J$4</f>
        <v>0.15865026805424159</v>
      </c>
      <c r="Z4">
        <f>K4/($I$4/1000*$J$4/1000)/60</f>
        <v>15.873015873015872</v>
      </c>
      <c r="AA4">
        <f>L4/($I$4/1000*$J$4/1000)/60</f>
        <v>158.73015873015871</v>
      </c>
      <c r="AB4">
        <f>Z4/($I$4/1000)</f>
        <v>158.73015873015871</v>
      </c>
      <c r="AC4">
        <f>0.45/(1+(0.07*AB4)^0.71)</f>
        <v>6.8944606170151801E-2</v>
      </c>
      <c r="AD4">
        <v>0.28999999999999998</v>
      </c>
      <c r="AE4">
        <f>AC4/$AD$4</f>
        <v>0.23774002127638555</v>
      </c>
      <c r="AF4">
        <v>3.04</v>
      </c>
      <c r="AG4">
        <f>AC4*(Z4/1000)/($AF$4/1000)</f>
        <v>0.35998645661106832</v>
      </c>
      <c r="AH4">
        <f>$AD$4*(AA4/1000)/($AF$4/1000)</f>
        <v>15.142021720969085</v>
      </c>
      <c r="AI4">
        <f>K4/L4</f>
        <v>0.1</v>
      </c>
      <c r="AJ4">
        <f>1000*(Z4/1000)*($I$4/10^6)/AC4</f>
        <v>2.3022853787636514E-2</v>
      </c>
      <c r="AK4">
        <f>1000*(AA4/1000)*($I$4/10^6)/$AD$4</f>
        <v>5.4734537493158181E-2</v>
      </c>
      <c r="AL4">
        <v>7.0000000000000007E-2</v>
      </c>
      <c r="AM4">
        <f>$AL$4*AB4</f>
        <v>11.111111111111111</v>
      </c>
      <c r="AN4">
        <f>AM4/AJ4</f>
        <v>482.61224319106265</v>
      </c>
      <c r="AO4">
        <f>AH4^(-0.6)*AI4^0.57*AM4^0.45</f>
        <v>0.15576882784005425</v>
      </c>
      <c r="AP4">
        <f>AH4^(-0.6)*AI4^0.57</f>
        <v>5.2709595220879639E-2</v>
      </c>
      <c r="AQ4">
        <f>(AI4*AM4/AH4)^0.6</f>
        <v>0.20861434827496134</v>
      </c>
      <c r="AR4">
        <f>(AI4/AH4)^(0.6)*AM4^(0.45)</f>
        <v>0.14537192851183667</v>
      </c>
      <c r="AS4">
        <f>AI4/AH4</f>
        <v>6.6041379310344851E-3</v>
      </c>
    </row>
    <row r="5" spans="2:45" x14ac:dyDescent="0.2">
      <c r="B5" t="s">
        <v>6</v>
      </c>
      <c r="C5" t="s">
        <v>7</v>
      </c>
      <c r="D5" t="s">
        <v>8</v>
      </c>
      <c r="E5" t="s">
        <v>9</v>
      </c>
      <c r="F5" t="s">
        <v>10</v>
      </c>
      <c r="K5">
        <v>10</v>
      </c>
      <c r="L5">
        <v>10</v>
      </c>
      <c r="M5" s="6"/>
      <c r="N5" s="6"/>
      <c r="O5" s="6"/>
      <c r="P5" s="6"/>
      <c r="Q5" s="6"/>
      <c r="R5">
        <f t="shared" ref="R5:R31" si="1">M5/0.2567</f>
        <v>0</v>
      </c>
      <c r="S5">
        <f t="shared" ref="S5:S31" si="2">N5/0.2567</f>
        <v>0</v>
      </c>
      <c r="T5">
        <f t="shared" ref="T5:T31" si="3">O5/0.2567</f>
        <v>0</v>
      </c>
      <c r="U5">
        <f t="shared" ref="U5:U31" si="4">P5/0.2567</f>
        <v>0</v>
      </c>
      <c r="V5">
        <f t="shared" ref="V5:Y31" si="5">R5/$J$4</f>
        <v>0</v>
      </c>
      <c r="W5">
        <f t="shared" si="5"/>
        <v>0</v>
      </c>
      <c r="X5">
        <f t="shared" si="5"/>
        <v>0</v>
      </c>
      <c r="Y5">
        <f t="shared" si="5"/>
        <v>0</v>
      </c>
      <c r="Z5">
        <f t="shared" ref="Z5:Z31" si="6">K5/($I$4/1000*$J$4/1000)/60</f>
        <v>15.873015873015872</v>
      </c>
      <c r="AA5">
        <f t="shared" ref="AA5:AA31" si="7">L5/($I$4/1000*$J$4/1000)/60</f>
        <v>15.873015873015872</v>
      </c>
      <c r="AB5">
        <f t="shared" ref="AB5:AB31" si="8">Z5/($I$4/1000)</f>
        <v>158.73015873015871</v>
      </c>
      <c r="AC5">
        <f t="shared" ref="AC5:AC31" si="9">0.45/(1+(0.07*AB5)^0.71)</f>
        <v>6.8944606170151801E-2</v>
      </c>
      <c r="AE5">
        <f t="shared" ref="AE5:AE31" si="10">AC5/$AD$4</f>
        <v>0.23774002127638555</v>
      </c>
      <c r="AG5">
        <f t="shared" ref="AG5:AG31" si="11">AC5*(Z5/1000)/($AF$4/1000)</f>
        <v>0.35998645661106832</v>
      </c>
      <c r="AH5">
        <f t="shared" ref="AH5:AH31" si="12">$AD$4*(AA5/1000)/($AF$4/1000)</f>
        <v>1.5142021720969088</v>
      </c>
      <c r="AI5">
        <f t="shared" ref="AI5:AI31" si="13">K5/L5</f>
        <v>1</v>
      </c>
      <c r="AJ5">
        <f t="shared" ref="AJ5:AJ31" si="14">1000*(Z5/1000)*($I$4/10^6)/AC5</f>
        <v>2.3022853787636514E-2</v>
      </c>
      <c r="AK5">
        <f t="shared" ref="AK5:AK31" si="15">1000*(AA5/1000)*($I$4/10^6)/$AD$4</f>
        <v>5.4734537493158182E-3</v>
      </c>
      <c r="AM5">
        <f t="shared" ref="AM5:AM31" si="16">$AL$4*AB5</f>
        <v>11.111111111111111</v>
      </c>
      <c r="AN5">
        <f t="shared" ref="AN5:AN31" si="17">AM5/AJ5</f>
        <v>482.61224319106265</v>
      </c>
      <c r="AO5">
        <f t="shared" ref="AO5:AO31" si="18">AH5^(-0.6)*AI5^0.57*AM5^0.45</f>
        <v>2.3039897987335349</v>
      </c>
      <c r="AP5">
        <f t="shared" ref="AP5:AP31" si="19">AH5^(-0.6)*AI5^0.57</f>
        <v>0.77963204428153887</v>
      </c>
      <c r="AQ5">
        <f t="shared" ref="AQ5:AQ31" si="20">(AI5*AM5/AH5)^0.6</f>
        <v>3.3063146043069791</v>
      </c>
      <c r="AR5">
        <f t="shared" ref="AR5:AR31" si="21">(AI5/AH5)^(0.6)*AM5^(0.45)</f>
        <v>2.3039897987335354</v>
      </c>
      <c r="AS5">
        <f t="shared" ref="AS5:AS31" si="22">AI5/AH5</f>
        <v>0.66041379310344839</v>
      </c>
    </row>
    <row r="6" spans="2:45" x14ac:dyDescent="0.2">
      <c r="B6" s="5" t="s">
        <v>48</v>
      </c>
      <c r="C6" t="s">
        <v>49</v>
      </c>
      <c r="D6" t="s">
        <v>50</v>
      </c>
      <c r="E6" t="s">
        <v>51</v>
      </c>
      <c r="F6" t="s">
        <v>52</v>
      </c>
      <c r="K6">
        <v>10</v>
      </c>
      <c r="L6">
        <v>20</v>
      </c>
      <c r="M6" s="6"/>
      <c r="N6" s="6"/>
      <c r="O6" s="6"/>
      <c r="P6" s="6"/>
      <c r="Q6" s="6"/>
      <c r="R6">
        <f t="shared" si="1"/>
        <v>0</v>
      </c>
      <c r="S6">
        <f t="shared" si="2"/>
        <v>0</v>
      </c>
      <c r="T6">
        <f t="shared" si="3"/>
        <v>0</v>
      </c>
      <c r="U6">
        <f t="shared" si="4"/>
        <v>0</v>
      </c>
      <c r="V6">
        <f t="shared" si="5"/>
        <v>0</v>
      </c>
      <c r="W6">
        <f t="shared" si="5"/>
        <v>0</v>
      </c>
      <c r="X6">
        <f t="shared" si="5"/>
        <v>0</v>
      </c>
      <c r="Y6">
        <f t="shared" si="5"/>
        <v>0</v>
      </c>
      <c r="Z6">
        <f t="shared" si="6"/>
        <v>15.873015873015872</v>
      </c>
      <c r="AA6">
        <f t="shared" si="7"/>
        <v>31.746031746031743</v>
      </c>
      <c r="AB6">
        <f t="shared" si="8"/>
        <v>158.73015873015871</v>
      </c>
      <c r="AC6">
        <f t="shared" si="9"/>
        <v>6.8944606170151801E-2</v>
      </c>
      <c r="AE6">
        <f t="shared" si="10"/>
        <v>0.23774002127638555</v>
      </c>
      <c r="AG6">
        <f t="shared" si="11"/>
        <v>0.35998645661106832</v>
      </c>
      <c r="AH6">
        <f t="shared" si="12"/>
        <v>3.0284043441938175</v>
      </c>
      <c r="AI6">
        <f t="shared" si="13"/>
        <v>0.5</v>
      </c>
      <c r="AJ6">
        <f t="shared" si="14"/>
        <v>2.3022853787636514E-2</v>
      </c>
      <c r="AK6">
        <f t="shared" si="15"/>
        <v>1.0946907498631636E-2</v>
      </c>
      <c r="AM6">
        <f t="shared" si="16"/>
        <v>11.111111111111111</v>
      </c>
      <c r="AN6">
        <f t="shared" si="17"/>
        <v>482.61224319106265</v>
      </c>
      <c r="AO6">
        <f t="shared" si="18"/>
        <v>1.0239422350433709</v>
      </c>
      <c r="AP6">
        <f t="shared" si="19"/>
        <v>0.34648511828128864</v>
      </c>
      <c r="AQ6">
        <f t="shared" si="20"/>
        <v>1.4391570206068216</v>
      </c>
      <c r="AR6">
        <f t="shared" si="21"/>
        <v>1.0028698085580015</v>
      </c>
      <c r="AS6">
        <f t="shared" si="22"/>
        <v>0.1651034482758621</v>
      </c>
    </row>
    <row r="7" spans="2:45" x14ac:dyDescent="0.2">
      <c r="B7" t="s">
        <v>48</v>
      </c>
      <c r="C7" t="s">
        <v>49</v>
      </c>
      <c r="D7" t="s">
        <v>50</v>
      </c>
      <c r="E7" t="s">
        <v>51</v>
      </c>
      <c r="F7" t="s">
        <v>52</v>
      </c>
      <c r="K7">
        <v>10</v>
      </c>
      <c r="L7">
        <v>30</v>
      </c>
      <c r="M7">
        <v>63.745899999999999</v>
      </c>
      <c r="N7">
        <v>2.5007000000000001</v>
      </c>
      <c r="O7">
        <v>52.511099999999999</v>
      </c>
      <c r="P7">
        <v>1.1140000000000001</v>
      </c>
      <c r="Q7">
        <f>33/(250/500)</f>
        <v>66</v>
      </c>
      <c r="R7">
        <f t="shared" si="1"/>
        <v>248.32839890923259</v>
      </c>
      <c r="S7">
        <f t="shared" si="2"/>
        <v>9.7417218543046378</v>
      </c>
      <c r="T7">
        <f t="shared" si="3"/>
        <v>204.56213478768993</v>
      </c>
      <c r="U7">
        <f t="shared" si="4"/>
        <v>4.3396961433580064</v>
      </c>
      <c r="V7">
        <f t="shared" si="5"/>
        <v>2.3650323705641201</v>
      </c>
      <c r="W7">
        <f t="shared" si="5"/>
        <v>9.2778303374329879E-2</v>
      </c>
      <c r="X7">
        <f t="shared" si="5"/>
        <v>1.9482108075018088</v>
      </c>
      <c r="Y7">
        <f t="shared" si="5"/>
        <v>4.133043946055244E-2</v>
      </c>
      <c r="Z7">
        <f t="shared" si="6"/>
        <v>15.873015873015872</v>
      </c>
      <c r="AA7">
        <f t="shared" si="7"/>
        <v>47.619047619047613</v>
      </c>
      <c r="AB7">
        <f t="shared" si="8"/>
        <v>158.73015873015871</v>
      </c>
      <c r="AC7">
        <f t="shared" si="9"/>
        <v>6.8944606170151801E-2</v>
      </c>
      <c r="AE7">
        <f t="shared" si="10"/>
        <v>0.23774002127638555</v>
      </c>
      <c r="AG7">
        <f t="shared" si="11"/>
        <v>0.35998645661106832</v>
      </c>
      <c r="AH7">
        <f t="shared" si="12"/>
        <v>4.5426065162907259</v>
      </c>
      <c r="AI7">
        <f t="shared" si="13"/>
        <v>0.33333333333333331</v>
      </c>
      <c r="AJ7">
        <f t="shared" si="14"/>
        <v>2.3022853787636514E-2</v>
      </c>
      <c r="AK7">
        <f t="shared" si="15"/>
        <v>1.6420361247947456E-2</v>
      </c>
      <c r="AM7">
        <f t="shared" si="16"/>
        <v>11.111111111111111</v>
      </c>
      <c r="AN7">
        <f t="shared" si="17"/>
        <v>482.61224319106265</v>
      </c>
      <c r="AO7">
        <f t="shared" si="18"/>
        <v>0.63716026442453866</v>
      </c>
      <c r="AP7">
        <f t="shared" si="19"/>
        <v>0.21560449606214596</v>
      </c>
      <c r="AQ7">
        <f t="shared" si="20"/>
        <v>0.88470538304401469</v>
      </c>
      <c r="AR7">
        <f t="shared" si="21"/>
        <v>0.61650278977166584</v>
      </c>
      <c r="AS7">
        <f t="shared" si="22"/>
        <v>7.33793103448276E-2</v>
      </c>
    </row>
    <row r="8" spans="2:45" x14ac:dyDescent="0.2">
      <c r="B8">
        <v>1000</v>
      </c>
      <c r="C8">
        <v>23.917000000000002</v>
      </c>
      <c r="D8">
        <v>2.3904999999999999E-2</v>
      </c>
      <c r="E8">
        <v>20.94</v>
      </c>
      <c r="F8">
        <v>782.76</v>
      </c>
      <c r="K8">
        <v>10</v>
      </c>
      <c r="L8">
        <v>40</v>
      </c>
      <c r="M8">
        <v>51.822899999999997</v>
      </c>
      <c r="N8">
        <v>6.1718999999999999</v>
      </c>
      <c r="O8">
        <v>45.296399999999998</v>
      </c>
      <c r="P8">
        <v>1.2757000000000001</v>
      </c>
      <c r="Q8">
        <f>51/(250/500)</f>
        <v>102</v>
      </c>
      <c r="R8">
        <f t="shared" si="1"/>
        <v>201.8811842617842</v>
      </c>
      <c r="S8">
        <f t="shared" si="2"/>
        <v>24.04324113751461</v>
      </c>
      <c r="T8">
        <f t="shared" si="3"/>
        <v>176.45656408258668</v>
      </c>
      <c r="U8">
        <f t="shared" si="4"/>
        <v>4.9696143358005456</v>
      </c>
      <c r="V8">
        <f t="shared" si="5"/>
        <v>1.9226779453503258</v>
      </c>
      <c r="W8">
        <f t="shared" si="5"/>
        <v>0.22898324892871058</v>
      </c>
      <c r="X8">
        <f t="shared" si="5"/>
        <v>1.6805387055484446</v>
      </c>
      <c r="Y8">
        <f t="shared" si="5"/>
        <v>4.7329660340957577E-2</v>
      </c>
      <c r="Z8">
        <f t="shared" si="6"/>
        <v>15.873015873015872</v>
      </c>
      <c r="AA8">
        <f t="shared" si="7"/>
        <v>63.492063492063487</v>
      </c>
      <c r="AB8">
        <f t="shared" si="8"/>
        <v>158.73015873015871</v>
      </c>
      <c r="AC8">
        <f t="shared" si="9"/>
        <v>6.8944606170151801E-2</v>
      </c>
      <c r="AE8">
        <f t="shared" si="10"/>
        <v>0.23774002127638555</v>
      </c>
      <c r="AG8">
        <f t="shared" si="11"/>
        <v>0.35998645661106832</v>
      </c>
      <c r="AH8">
        <f t="shared" si="12"/>
        <v>6.0568086883876351</v>
      </c>
      <c r="AI8">
        <f t="shared" si="13"/>
        <v>0.25</v>
      </c>
      <c r="AJ8">
        <f t="shared" si="14"/>
        <v>2.3022853787636514E-2</v>
      </c>
      <c r="AK8">
        <f t="shared" si="15"/>
        <v>2.1893814997263273E-2</v>
      </c>
      <c r="AM8">
        <f t="shared" si="16"/>
        <v>11.111111111111111</v>
      </c>
      <c r="AN8">
        <f t="shared" si="17"/>
        <v>482.61224319106265</v>
      </c>
      <c r="AO8">
        <f t="shared" si="18"/>
        <v>0.45506178077782011</v>
      </c>
      <c r="AP8">
        <f t="shared" si="19"/>
        <v>0.15398538075872839</v>
      </c>
      <c r="AQ8">
        <f t="shared" si="20"/>
        <v>0.6264294774804201</v>
      </c>
      <c r="AR8">
        <f t="shared" si="21"/>
        <v>0.43652443837642219</v>
      </c>
      <c r="AS8">
        <f t="shared" si="22"/>
        <v>4.1275862068965524E-2</v>
      </c>
    </row>
    <row r="9" spans="2:45" x14ac:dyDescent="0.2">
      <c r="B9">
        <v>791</v>
      </c>
      <c r="C9">
        <v>21.78</v>
      </c>
      <c r="D9">
        <v>2.7552E-2</v>
      </c>
      <c r="E9">
        <v>20.93</v>
      </c>
      <c r="F9">
        <v>712.8</v>
      </c>
      <c r="K9">
        <v>10</v>
      </c>
      <c r="L9">
        <v>50</v>
      </c>
      <c r="M9">
        <v>46.625</v>
      </c>
      <c r="N9">
        <v>5.8294199999999998</v>
      </c>
      <c r="O9">
        <v>52.875</v>
      </c>
      <c r="P9">
        <v>6.7704719999999998</v>
      </c>
      <c r="Q9">
        <f>30/(250/1000)</f>
        <v>120</v>
      </c>
      <c r="R9">
        <f t="shared" si="1"/>
        <v>181.63225555122713</v>
      </c>
      <c r="S9">
        <f t="shared" si="2"/>
        <v>22.709076743280093</v>
      </c>
      <c r="T9">
        <f t="shared" si="3"/>
        <v>205.97974289053371</v>
      </c>
      <c r="U9">
        <f t="shared" si="4"/>
        <v>26.375037008180758</v>
      </c>
      <c r="V9">
        <f t="shared" si="5"/>
        <v>1.7298310052497823</v>
      </c>
      <c r="W9">
        <f t="shared" si="5"/>
        <v>0.21627692136457233</v>
      </c>
      <c r="X9">
        <f t="shared" si="5"/>
        <v>1.961711837052702</v>
      </c>
      <c r="Y9">
        <f t="shared" si="5"/>
        <v>0.25119082864934056</v>
      </c>
      <c r="Z9">
        <f t="shared" si="6"/>
        <v>15.873015873015872</v>
      </c>
      <c r="AA9">
        <f t="shared" si="7"/>
        <v>79.365079365079353</v>
      </c>
      <c r="AB9">
        <f t="shared" si="8"/>
        <v>158.73015873015871</v>
      </c>
      <c r="AC9">
        <f t="shared" si="9"/>
        <v>6.8944606170151801E-2</v>
      </c>
      <c r="AE9">
        <f t="shared" si="10"/>
        <v>0.23774002127638555</v>
      </c>
      <c r="AG9">
        <f t="shared" si="11"/>
        <v>0.35998645661106832</v>
      </c>
      <c r="AH9">
        <f t="shared" si="12"/>
        <v>7.5710108604845425</v>
      </c>
      <c r="AI9">
        <f t="shared" si="13"/>
        <v>0.2</v>
      </c>
      <c r="AJ9">
        <f t="shared" si="14"/>
        <v>2.3022853787636514E-2</v>
      </c>
      <c r="AK9">
        <f t="shared" si="15"/>
        <v>2.736726874657909E-2</v>
      </c>
      <c r="AM9">
        <f t="shared" si="16"/>
        <v>11.111111111111111</v>
      </c>
      <c r="AN9">
        <f t="shared" si="17"/>
        <v>482.61224319106265</v>
      </c>
      <c r="AO9">
        <f t="shared" si="18"/>
        <v>0.35049808282296685</v>
      </c>
      <c r="AP9">
        <f t="shared" si="19"/>
        <v>0.11860275465552669</v>
      </c>
      <c r="AQ9">
        <f t="shared" si="20"/>
        <v>0.47926991738445324</v>
      </c>
      <c r="AR9">
        <f t="shared" si="21"/>
        <v>0.33397699028858674</v>
      </c>
      <c r="AS9">
        <f t="shared" si="22"/>
        <v>2.6416551724137941E-2</v>
      </c>
    </row>
    <row r="10" spans="2:45" x14ac:dyDescent="0.2">
      <c r="B10">
        <v>628</v>
      </c>
      <c r="C10">
        <v>19.835999999999999</v>
      </c>
      <c r="D10">
        <v>3.1587999999999998E-2</v>
      </c>
      <c r="E10">
        <v>20.93</v>
      </c>
      <c r="F10">
        <v>649.17999999999995</v>
      </c>
      <c r="K10">
        <v>10</v>
      </c>
      <c r="L10">
        <v>60</v>
      </c>
      <c r="M10">
        <v>39.875</v>
      </c>
      <c r="N10">
        <v>1.457738</v>
      </c>
      <c r="O10">
        <v>41.625</v>
      </c>
      <c r="P10">
        <v>1.9226099999999999</v>
      </c>
      <c r="Q10">
        <f>35/(250/1000)</f>
        <v>140</v>
      </c>
      <c r="R10">
        <f t="shared" si="1"/>
        <v>155.33696922477603</v>
      </c>
      <c r="S10">
        <f t="shared" si="2"/>
        <v>5.6787611998441765</v>
      </c>
      <c r="T10">
        <f t="shared" si="3"/>
        <v>162.15426567978184</v>
      </c>
      <c r="U10">
        <f t="shared" si="4"/>
        <v>7.4897156213478775</v>
      </c>
      <c r="V10">
        <f t="shared" si="5"/>
        <v>1.4793997069026288</v>
      </c>
      <c r="W10">
        <f t="shared" si="5"/>
        <v>5.4083439998515968E-2</v>
      </c>
      <c r="X10">
        <f t="shared" si="5"/>
        <v>1.544326339807446</v>
      </c>
      <c r="Y10">
        <f t="shared" si="5"/>
        <v>7.1330624965217887E-2</v>
      </c>
      <c r="Z10">
        <f t="shared" si="6"/>
        <v>15.873015873015872</v>
      </c>
      <c r="AA10">
        <f t="shared" si="7"/>
        <v>95.238095238095227</v>
      </c>
      <c r="AB10">
        <f t="shared" si="8"/>
        <v>158.73015873015871</v>
      </c>
      <c r="AC10">
        <f t="shared" si="9"/>
        <v>6.8944606170151801E-2</v>
      </c>
      <c r="AE10">
        <f t="shared" si="10"/>
        <v>0.23774002127638555</v>
      </c>
      <c r="AG10">
        <f t="shared" si="11"/>
        <v>0.35998645661106832</v>
      </c>
      <c r="AH10">
        <f t="shared" si="12"/>
        <v>9.0852130325814517</v>
      </c>
      <c r="AI10">
        <f t="shared" si="13"/>
        <v>0.16666666666666666</v>
      </c>
      <c r="AJ10">
        <f t="shared" si="14"/>
        <v>2.3022853787636514E-2</v>
      </c>
      <c r="AK10">
        <f t="shared" si="15"/>
        <v>3.2840722495894911E-2</v>
      </c>
      <c r="AM10">
        <f t="shared" si="16"/>
        <v>11.111111111111111</v>
      </c>
      <c r="AN10">
        <f t="shared" si="17"/>
        <v>482.61224319106265</v>
      </c>
      <c r="AO10">
        <f t="shared" si="18"/>
        <v>0.28316761888195391</v>
      </c>
      <c r="AP10">
        <f t="shared" si="19"/>
        <v>9.5819239175722534E-2</v>
      </c>
      <c r="AQ10">
        <f t="shared" si="20"/>
        <v>0.38509038478004015</v>
      </c>
      <c r="AR10">
        <f t="shared" si="21"/>
        <v>0.26834842545467791</v>
      </c>
      <c r="AS10">
        <f t="shared" si="22"/>
        <v>1.83448275862069E-2</v>
      </c>
    </row>
    <row r="11" spans="2:45" x14ac:dyDescent="0.2">
      <c r="B11">
        <v>499</v>
      </c>
      <c r="C11">
        <v>18.064</v>
      </c>
      <c r="D11">
        <v>3.6212000000000001E-2</v>
      </c>
      <c r="E11">
        <v>20.93</v>
      </c>
      <c r="F11">
        <v>591.19000000000005</v>
      </c>
      <c r="K11">
        <v>10</v>
      </c>
      <c r="L11">
        <v>70</v>
      </c>
      <c r="R11">
        <f t="shared" si="1"/>
        <v>0</v>
      </c>
      <c r="S11">
        <f t="shared" si="2"/>
        <v>0</v>
      </c>
      <c r="T11">
        <f t="shared" si="3"/>
        <v>0</v>
      </c>
      <c r="U11">
        <f t="shared" si="4"/>
        <v>0</v>
      </c>
      <c r="V11">
        <f t="shared" si="5"/>
        <v>0</v>
      </c>
      <c r="W11">
        <f t="shared" si="5"/>
        <v>0</v>
      </c>
      <c r="X11">
        <f t="shared" si="5"/>
        <v>0</v>
      </c>
      <c r="Y11">
        <f t="shared" si="5"/>
        <v>0</v>
      </c>
      <c r="Z11">
        <f t="shared" si="6"/>
        <v>15.873015873015872</v>
      </c>
      <c r="AA11">
        <f t="shared" si="7"/>
        <v>111.1111111111111</v>
      </c>
      <c r="AB11">
        <f t="shared" si="8"/>
        <v>158.73015873015871</v>
      </c>
      <c r="AC11">
        <f t="shared" si="9"/>
        <v>6.8944606170151801E-2</v>
      </c>
      <c r="AE11">
        <f t="shared" si="10"/>
        <v>0.23774002127638555</v>
      </c>
      <c r="AG11">
        <f t="shared" si="11"/>
        <v>0.35998645661106832</v>
      </c>
      <c r="AH11">
        <f t="shared" si="12"/>
        <v>10.599415204678362</v>
      </c>
      <c r="AI11">
        <f t="shared" si="13"/>
        <v>0.14285714285714285</v>
      </c>
      <c r="AJ11">
        <f t="shared" si="14"/>
        <v>2.3022853787636514E-2</v>
      </c>
      <c r="AK11">
        <f t="shared" si="15"/>
        <v>3.8314176245210725E-2</v>
      </c>
      <c r="AM11">
        <f t="shared" si="16"/>
        <v>11.111111111111111</v>
      </c>
      <c r="AN11">
        <f t="shared" si="17"/>
        <v>482.61224319106265</v>
      </c>
      <c r="AO11">
        <f t="shared" si="18"/>
        <v>0.23643722038563147</v>
      </c>
      <c r="AP11">
        <f t="shared" si="19"/>
        <v>8.00064451564933E-2</v>
      </c>
      <c r="AQ11">
        <f t="shared" si="20"/>
        <v>0.32005640843054323</v>
      </c>
      <c r="AR11">
        <f t="shared" si="21"/>
        <v>0.22302980456931729</v>
      </c>
      <c r="AS11">
        <f t="shared" si="22"/>
        <v>1.347783251231527E-2</v>
      </c>
    </row>
    <row r="12" spans="2:45" x14ac:dyDescent="0.2">
      <c r="B12">
        <v>396</v>
      </c>
      <c r="C12">
        <v>16.445</v>
      </c>
      <c r="D12">
        <v>4.1498E-2</v>
      </c>
      <c r="E12">
        <v>20.93</v>
      </c>
      <c r="F12">
        <v>538.20000000000005</v>
      </c>
      <c r="K12">
        <v>10</v>
      </c>
      <c r="L12">
        <v>70</v>
      </c>
      <c r="M12">
        <v>39.256500000000003</v>
      </c>
      <c r="N12">
        <v>4.5050999999999997</v>
      </c>
      <c r="O12">
        <v>37.546300000000002</v>
      </c>
      <c r="P12">
        <v>2.9676</v>
      </c>
      <c r="Q12">
        <f>43/(250/1000)</f>
        <v>172</v>
      </c>
      <c r="R12">
        <f t="shared" si="1"/>
        <v>152.92754187767824</v>
      </c>
      <c r="S12">
        <f t="shared" si="2"/>
        <v>17.550058433969614</v>
      </c>
      <c r="T12">
        <f t="shared" si="3"/>
        <v>146.26529022204909</v>
      </c>
      <c r="U12">
        <f t="shared" si="4"/>
        <v>11.560576548500196</v>
      </c>
      <c r="V12">
        <f t="shared" si="5"/>
        <v>1.4564527797874118</v>
      </c>
      <c r="W12">
        <f t="shared" si="5"/>
        <v>0.16714341365685348</v>
      </c>
      <c r="X12">
        <f t="shared" si="5"/>
        <v>1.3930027640195151</v>
      </c>
      <c r="Y12">
        <f t="shared" si="5"/>
        <v>0.11010072903333519</v>
      </c>
      <c r="Z12">
        <f t="shared" si="6"/>
        <v>15.873015873015872</v>
      </c>
      <c r="AA12">
        <f t="shared" si="7"/>
        <v>111.1111111111111</v>
      </c>
      <c r="AB12">
        <f t="shared" si="8"/>
        <v>158.73015873015871</v>
      </c>
      <c r="AC12">
        <f t="shared" si="9"/>
        <v>6.8944606170151801E-2</v>
      </c>
      <c r="AE12">
        <f t="shared" si="10"/>
        <v>0.23774002127638555</v>
      </c>
      <c r="AG12">
        <f t="shared" si="11"/>
        <v>0.35998645661106832</v>
      </c>
      <c r="AH12">
        <f t="shared" si="12"/>
        <v>10.599415204678362</v>
      </c>
      <c r="AI12">
        <f t="shared" si="13"/>
        <v>0.14285714285714285</v>
      </c>
      <c r="AJ12">
        <f t="shared" si="14"/>
        <v>2.3022853787636514E-2</v>
      </c>
      <c r="AK12">
        <f t="shared" si="15"/>
        <v>3.8314176245210725E-2</v>
      </c>
      <c r="AM12">
        <f t="shared" si="16"/>
        <v>11.111111111111111</v>
      </c>
      <c r="AN12">
        <f t="shared" si="17"/>
        <v>482.61224319106265</v>
      </c>
      <c r="AO12">
        <f t="shared" si="18"/>
        <v>0.23643722038563147</v>
      </c>
      <c r="AP12">
        <f t="shared" si="19"/>
        <v>8.00064451564933E-2</v>
      </c>
      <c r="AQ12">
        <f t="shared" si="20"/>
        <v>0.32005640843054323</v>
      </c>
      <c r="AR12">
        <f t="shared" si="21"/>
        <v>0.22302980456931729</v>
      </c>
      <c r="AS12">
        <f t="shared" si="22"/>
        <v>1.347783251231527E-2</v>
      </c>
    </row>
    <row r="13" spans="2:45" x14ac:dyDescent="0.2">
      <c r="B13">
        <v>315</v>
      </c>
      <c r="C13">
        <v>14.957000000000001</v>
      </c>
      <c r="D13">
        <v>4.7511999999999999E-2</v>
      </c>
      <c r="E13">
        <v>20.93</v>
      </c>
      <c r="F13">
        <v>489.52</v>
      </c>
      <c r="K13">
        <v>10</v>
      </c>
      <c r="L13">
        <v>80</v>
      </c>
      <c r="M13">
        <v>39.034399999999998</v>
      </c>
      <c r="N13">
        <v>5.8087999999999997</v>
      </c>
      <c r="O13">
        <v>32.0458</v>
      </c>
      <c r="P13">
        <v>2.6875</v>
      </c>
      <c r="Q13">
        <f>30/(250/250)</f>
        <v>30</v>
      </c>
      <c r="R13">
        <f t="shared" si="1"/>
        <v>152.06232956758862</v>
      </c>
      <c r="S13">
        <f t="shared" si="2"/>
        <v>22.628749513050252</v>
      </c>
      <c r="T13">
        <f t="shared" si="3"/>
        <v>124.83755356447216</v>
      </c>
      <c r="U13">
        <f t="shared" si="4"/>
        <v>10.469419555901831</v>
      </c>
      <c r="V13">
        <f t="shared" si="5"/>
        <v>1.448212662548463</v>
      </c>
      <c r="W13">
        <f t="shared" si="5"/>
        <v>0.21551190012428811</v>
      </c>
      <c r="X13">
        <f t="shared" si="5"/>
        <v>1.1889290815664015</v>
      </c>
      <c r="Y13">
        <f t="shared" si="5"/>
        <v>9.9708757675255541E-2</v>
      </c>
      <c r="Z13">
        <f t="shared" si="6"/>
        <v>15.873015873015872</v>
      </c>
      <c r="AA13">
        <f t="shared" si="7"/>
        <v>126.98412698412697</v>
      </c>
      <c r="AB13">
        <f t="shared" si="8"/>
        <v>158.73015873015871</v>
      </c>
      <c r="AC13">
        <f t="shared" si="9"/>
        <v>6.8944606170151801E-2</v>
      </c>
      <c r="AE13">
        <f t="shared" si="10"/>
        <v>0.23774002127638555</v>
      </c>
      <c r="AG13">
        <f t="shared" si="11"/>
        <v>0.35998645661106832</v>
      </c>
      <c r="AH13">
        <f t="shared" si="12"/>
        <v>12.11361737677527</v>
      </c>
      <c r="AI13">
        <f t="shared" si="13"/>
        <v>0.125</v>
      </c>
      <c r="AJ13">
        <f t="shared" si="14"/>
        <v>2.3022853787636514E-2</v>
      </c>
      <c r="AK13">
        <f t="shared" si="15"/>
        <v>4.3787629994526546E-2</v>
      </c>
      <c r="AM13">
        <f t="shared" si="16"/>
        <v>11.111111111111111</v>
      </c>
      <c r="AN13">
        <f t="shared" si="17"/>
        <v>482.61224319106265</v>
      </c>
      <c r="AO13">
        <f t="shared" si="18"/>
        <v>0.20223916666149588</v>
      </c>
      <c r="AP13">
        <f t="shared" si="19"/>
        <v>6.8434389347021687E-2</v>
      </c>
      <c r="AQ13">
        <f t="shared" si="20"/>
        <v>0.27266926724293822</v>
      </c>
      <c r="AR13">
        <f t="shared" si="21"/>
        <v>0.19000829786055926</v>
      </c>
      <c r="AS13">
        <f t="shared" si="22"/>
        <v>1.0318965517241381E-2</v>
      </c>
    </row>
    <row r="14" spans="2:45" x14ac:dyDescent="0.2">
      <c r="B14">
        <v>250</v>
      </c>
      <c r="C14">
        <v>13.586</v>
      </c>
      <c r="D14">
        <v>5.4323999999999997E-2</v>
      </c>
      <c r="E14">
        <v>20.92</v>
      </c>
      <c r="F14">
        <v>444.65</v>
      </c>
      <c r="K14">
        <v>10</v>
      </c>
      <c r="L14">
        <v>90</v>
      </c>
      <c r="M14">
        <v>30.076899999999998</v>
      </c>
      <c r="N14">
        <v>1.4398</v>
      </c>
      <c r="O14">
        <v>29.222100000000001</v>
      </c>
      <c r="P14">
        <v>1.4742999999999999</v>
      </c>
      <c r="Q14">
        <f>35</f>
        <v>35</v>
      </c>
      <c r="R14">
        <f t="shared" si="1"/>
        <v>117.16751071289443</v>
      </c>
      <c r="S14">
        <f t="shared" si="2"/>
        <v>5.6088819633813793</v>
      </c>
      <c r="T14">
        <f t="shared" si="3"/>
        <v>113.83755356447216</v>
      </c>
      <c r="U14">
        <f t="shared" si="4"/>
        <v>5.7432800934943513</v>
      </c>
      <c r="V14">
        <f t="shared" si="5"/>
        <v>1.1158810544085183</v>
      </c>
      <c r="W14">
        <f t="shared" si="5"/>
        <v>5.3417923460775042E-2</v>
      </c>
      <c r="X14">
        <f t="shared" si="5"/>
        <v>1.0841671768044967</v>
      </c>
      <c r="Y14">
        <f t="shared" si="5"/>
        <v>5.4697905652327156E-2</v>
      </c>
      <c r="Z14">
        <f t="shared" si="6"/>
        <v>15.873015873015872</v>
      </c>
      <c r="AA14">
        <f t="shared" si="7"/>
        <v>142.85714285714283</v>
      </c>
      <c r="AB14">
        <f t="shared" si="8"/>
        <v>158.73015873015871</v>
      </c>
      <c r="AC14">
        <f t="shared" si="9"/>
        <v>6.8944606170151801E-2</v>
      </c>
      <c r="AE14">
        <f t="shared" si="10"/>
        <v>0.23774002127638555</v>
      </c>
      <c r="AG14">
        <f t="shared" si="11"/>
        <v>0.35998645661106832</v>
      </c>
      <c r="AH14">
        <f t="shared" si="12"/>
        <v>13.627819548872177</v>
      </c>
      <c r="AI14">
        <f t="shared" si="13"/>
        <v>0.1111111111111111</v>
      </c>
      <c r="AJ14">
        <f t="shared" si="14"/>
        <v>2.3022853787636514E-2</v>
      </c>
      <c r="AK14">
        <f t="shared" si="15"/>
        <v>4.926108374384236E-2</v>
      </c>
      <c r="AM14">
        <f t="shared" si="16"/>
        <v>11.111111111111111</v>
      </c>
      <c r="AN14">
        <f t="shared" si="17"/>
        <v>482.61224319106265</v>
      </c>
      <c r="AO14">
        <f t="shared" si="18"/>
        <v>0.17620442711365505</v>
      </c>
      <c r="AP14">
        <f t="shared" si="19"/>
        <v>5.9624664049115518E-2</v>
      </c>
      <c r="AQ14">
        <f t="shared" si="20"/>
        <v>0.23672992696081183</v>
      </c>
      <c r="AR14">
        <f t="shared" si="21"/>
        <v>0.16496413743028213</v>
      </c>
      <c r="AS14">
        <f t="shared" si="22"/>
        <v>8.1532567049808439E-3</v>
      </c>
    </row>
    <row r="15" spans="2:45" x14ac:dyDescent="0.2">
      <c r="B15">
        <v>199</v>
      </c>
      <c r="C15">
        <v>12.319000000000001</v>
      </c>
      <c r="D15">
        <v>6.2003000000000003E-2</v>
      </c>
      <c r="E15">
        <v>20.92</v>
      </c>
      <c r="F15">
        <v>403.18</v>
      </c>
      <c r="K15">
        <v>20</v>
      </c>
      <c r="L15">
        <v>100</v>
      </c>
      <c r="M15" s="6"/>
      <c r="N15" s="6"/>
      <c r="O15" s="6"/>
      <c r="P15" s="6"/>
      <c r="Q15" s="6"/>
      <c r="R15">
        <f t="shared" si="1"/>
        <v>0</v>
      </c>
      <c r="S15">
        <f t="shared" si="2"/>
        <v>0</v>
      </c>
      <c r="T15">
        <f t="shared" si="3"/>
        <v>0</v>
      </c>
      <c r="U15">
        <f t="shared" si="4"/>
        <v>0</v>
      </c>
      <c r="V15">
        <f t="shared" si="5"/>
        <v>0</v>
      </c>
      <c r="W15">
        <f t="shared" si="5"/>
        <v>0</v>
      </c>
      <c r="X15">
        <f t="shared" si="5"/>
        <v>0</v>
      </c>
      <c r="Y15">
        <f t="shared" si="5"/>
        <v>0</v>
      </c>
      <c r="Z15">
        <f t="shared" si="6"/>
        <v>31.746031746031743</v>
      </c>
      <c r="AA15">
        <f t="shared" si="7"/>
        <v>158.73015873015871</v>
      </c>
      <c r="AB15">
        <f t="shared" si="8"/>
        <v>317.46031746031741</v>
      </c>
      <c r="AC15">
        <f t="shared" si="9"/>
        <v>4.4816007508170518E-2</v>
      </c>
      <c r="AE15">
        <f t="shared" si="10"/>
        <v>0.15453795692472594</v>
      </c>
      <c r="AG15">
        <f t="shared" si="11"/>
        <v>0.46800342009367707</v>
      </c>
      <c r="AH15">
        <f t="shared" si="12"/>
        <v>15.142021720969085</v>
      </c>
      <c r="AI15">
        <f t="shared" si="13"/>
        <v>0.2</v>
      </c>
      <c r="AJ15">
        <f t="shared" si="14"/>
        <v>7.0836367430195668E-2</v>
      </c>
      <c r="AK15">
        <f t="shared" si="15"/>
        <v>5.4734537493158181E-2</v>
      </c>
      <c r="AM15">
        <f t="shared" si="16"/>
        <v>22.222222222222221</v>
      </c>
      <c r="AN15">
        <f t="shared" si="17"/>
        <v>313.7120525571936</v>
      </c>
      <c r="AO15">
        <f t="shared" si="18"/>
        <v>0.31588655928840798</v>
      </c>
      <c r="AP15">
        <f t="shared" si="19"/>
        <v>7.8248636503712096E-2</v>
      </c>
      <c r="AQ15">
        <f t="shared" si="20"/>
        <v>0.47926991738445324</v>
      </c>
      <c r="AR15">
        <f t="shared" si="21"/>
        <v>0.30099691699896153</v>
      </c>
      <c r="AS15">
        <f t="shared" si="22"/>
        <v>1.320827586206897E-2</v>
      </c>
    </row>
    <row r="16" spans="2:45" x14ac:dyDescent="0.2">
      <c r="B16">
        <v>158</v>
      </c>
      <c r="C16">
        <v>11.153</v>
      </c>
      <c r="D16">
        <v>7.0653999999999995E-2</v>
      </c>
      <c r="E16">
        <v>20.92</v>
      </c>
      <c r="F16">
        <v>365.02</v>
      </c>
      <c r="K16">
        <v>20</v>
      </c>
      <c r="L16">
        <v>200</v>
      </c>
      <c r="M16" s="6"/>
      <c r="N16" s="6"/>
      <c r="O16" s="6"/>
      <c r="P16" s="6"/>
      <c r="Q16" s="6"/>
      <c r="R16">
        <f t="shared" si="1"/>
        <v>0</v>
      </c>
      <c r="S16">
        <f t="shared" si="2"/>
        <v>0</v>
      </c>
      <c r="T16">
        <f t="shared" si="3"/>
        <v>0</v>
      </c>
      <c r="U16">
        <f t="shared" si="4"/>
        <v>0</v>
      </c>
      <c r="V16">
        <f t="shared" si="5"/>
        <v>0</v>
      </c>
      <c r="W16">
        <f t="shared" si="5"/>
        <v>0</v>
      </c>
      <c r="X16">
        <f t="shared" si="5"/>
        <v>0</v>
      </c>
      <c r="Y16">
        <f t="shared" si="5"/>
        <v>0</v>
      </c>
      <c r="Z16">
        <f t="shared" si="6"/>
        <v>31.746031746031743</v>
      </c>
      <c r="AA16">
        <f t="shared" si="7"/>
        <v>317.46031746031741</v>
      </c>
      <c r="AB16">
        <f t="shared" si="8"/>
        <v>317.46031746031741</v>
      </c>
      <c r="AC16">
        <f t="shared" si="9"/>
        <v>4.4816007508170518E-2</v>
      </c>
      <c r="AE16">
        <f t="shared" si="10"/>
        <v>0.15453795692472594</v>
      </c>
      <c r="AG16">
        <f t="shared" si="11"/>
        <v>0.46800342009367707</v>
      </c>
      <c r="AH16">
        <f t="shared" si="12"/>
        <v>30.28404344193817</v>
      </c>
      <c r="AI16">
        <f t="shared" si="13"/>
        <v>0.1</v>
      </c>
      <c r="AJ16">
        <f t="shared" si="14"/>
        <v>7.0836367430195668E-2</v>
      </c>
      <c r="AK16">
        <f t="shared" si="15"/>
        <v>0.10946907498631636</v>
      </c>
      <c r="AM16">
        <f t="shared" si="16"/>
        <v>22.222222222222221</v>
      </c>
      <c r="AN16">
        <f t="shared" si="17"/>
        <v>313.7120525571936</v>
      </c>
      <c r="AO16">
        <f t="shared" si="18"/>
        <v>0.14038672815119566</v>
      </c>
      <c r="AP16">
        <f t="shared" si="19"/>
        <v>3.4775363933793914E-2</v>
      </c>
      <c r="AQ16">
        <f t="shared" si="20"/>
        <v>0.20861434827496134</v>
      </c>
      <c r="AR16">
        <f t="shared" si="21"/>
        <v>0.13101651782192131</v>
      </c>
      <c r="AS16">
        <f t="shared" si="22"/>
        <v>3.3020689655172426E-3</v>
      </c>
    </row>
    <row r="17" spans="2:45" x14ac:dyDescent="0.2">
      <c r="B17">
        <v>125</v>
      </c>
      <c r="C17">
        <v>10.071</v>
      </c>
      <c r="D17">
        <v>8.0298999999999995E-2</v>
      </c>
      <c r="E17">
        <v>20.92</v>
      </c>
      <c r="F17">
        <v>329.59</v>
      </c>
      <c r="K17">
        <v>20</v>
      </c>
      <c r="L17">
        <v>20</v>
      </c>
      <c r="M17" s="6"/>
      <c r="N17" s="6"/>
      <c r="O17" s="6"/>
      <c r="P17" s="6"/>
      <c r="Q17" s="6"/>
      <c r="R17">
        <f t="shared" si="1"/>
        <v>0</v>
      </c>
      <c r="S17">
        <f t="shared" si="2"/>
        <v>0</v>
      </c>
      <c r="T17">
        <f t="shared" si="3"/>
        <v>0</v>
      </c>
      <c r="U17">
        <f t="shared" si="4"/>
        <v>0</v>
      </c>
      <c r="V17">
        <f t="shared" si="5"/>
        <v>0</v>
      </c>
      <c r="W17">
        <f t="shared" si="5"/>
        <v>0</v>
      </c>
      <c r="X17">
        <f t="shared" si="5"/>
        <v>0</v>
      </c>
      <c r="Y17">
        <f t="shared" si="5"/>
        <v>0</v>
      </c>
      <c r="Z17">
        <f t="shared" si="6"/>
        <v>31.746031746031743</v>
      </c>
      <c r="AA17">
        <f t="shared" si="7"/>
        <v>31.746031746031743</v>
      </c>
      <c r="AB17">
        <f t="shared" si="8"/>
        <v>317.46031746031741</v>
      </c>
      <c r="AC17">
        <f t="shared" si="9"/>
        <v>4.4816007508170518E-2</v>
      </c>
      <c r="AE17">
        <f t="shared" si="10"/>
        <v>0.15453795692472594</v>
      </c>
      <c r="AG17">
        <f t="shared" si="11"/>
        <v>0.46800342009367707</v>
      </c>
      <c r="AH17">
        <f t="shared" si="12"/>
        <v>3.0284043441938175</v>
      </c>
      <c r="AI17">
        <f t="shared" si="13"/>
        <v>1</v>
      </c>
      <c r="AJ17">
        <f t="shared" si="14"/>
        <v>7.0836367430195668E-2</v>
      </c>
      <c r="AK17">
        <f t="shared" si="15"/>
        <v>1.0946907498631636E-2</v>
      </c>
      <c r="AM17">
        <f t="shared" si="16"/>
        <v>22.222222222222221</v>
      </c>
      <c r="AN17">
        <f t="shared" si="17"/>
        <v>313.7120525571936</v>
      </c>
      <c r="AO17">
        <f t="shared" si="18"/>
        <v>2.0764718719592321</v>
      </c>
      <c r="AP17">
        <f t="shared" si="19"/>
        <v>0.51436532496076703</v>
      </c>
      <c r="AQ17">
        <f t="shared" si="20"/>
        <v>3.3063146043069791</v>
      </c>
      <c r="AR17">
        <f t="shared" si="21"/>
        <v>2.0764718719592321</v>
      </c>
      <c r="AS17">
        <f t="shared" si="22"/>
        <v>0.33020689655172419</v>
      </c>
    </row>
    <row r="18" spans="2:45" x14ac:dyDescent="0.2">
      <c r="B18">
        <v>99.6</v>
      </c>
      <c r="C18">
        <v>9.0672999999999995</v>
      </c>
      <c r="D18">
        <v>9.1000999999999999E-2</v>
      </c>
      <c r="E18">
        <v>20.92</v>
      </c>
      <c r="F18">
        <v>296.75</v>
      </c>
      <c r="K18">
        <v>20</v>
      </c>
      <c r="L18">
        <v>40</v>
      </c>
      <c r="M18" s="6"/>
      <c r="N18" s="6"/>
      <c r="O18" s="6"/>
      <c r="P18" s="6"/>
      <c r="Q18" s="6"/>
      <c r="R18">
        <f t="shared" si="1"/>
        <v>0</v>
      </c>
      <c r="S18">
        <f t="shared" si="2"/>
        <v>0</v>
      </c>
      <c r="T18">
        <f t="shared" si="3"/>
        <v>0</v>
      </c>
      <c r="U18">
        <f t="shared" si="4"/>
        <v>0</v>
      </c>
      <c r="V18">
        <f t="shared" si="5"/>
        <v>0</v>
      </c>
      <c r="W18">
        <f t="shared" si="5"/>
        <v>0</v>
      </c>
      <c r="X18">
        <f t="shared" si="5"/>
        <v>0</v>
      </c>
      <c r="Y18">
        <f t="shared" si="5"/>
        <v>0</v>
      </c>
      <c r="Z18">
        <f t="shared" si="6"/>
        <v>31.746031746031743</v>
      </c>
      <c r="AA18">
        <f t="shared" si="7"/>
        <v>63.492063492063487</v>
      </c>
      <c r="AB18">
        <f t="shared" si="8"/>
        <v>317.46031746031741</v>
      </c>
      <c r="AC18">
        <f t="shared" si="9"/>
        <v>4.4816007508170518E-2</v>
      </c>
      <c r="AE18">
        <f t="shared" si="10"/>
        <v>0.15453795692472594</v>
      </c>
      <c r="AG18">
        <f t="shared" si="11"/>
        <v>0.46800342009367707</v>
      </c>
      <c r="AH18">
        <f t="shared" si="12"/>
        <v>6.0568086883876351</v>
      </c>
      <c r="AI18">
        <f t="shared" si="13"/>
        <v>0.5</v>
      </c>
      <c r="AJ18">
        <f t="shared" si="14"/>
        <v>7.0836367430195668E-2</v>
      </c>
      <c r="AK18">
        <f t="shared" si="15"/>
        <v>2.1893814997263273E-2</v>
      </c>
      <c r="AM18">
        <f t="shared" si="16"/>
        <v>22.222222222222221</v>
      </c>
      <c r="AN18">
        <f t="shared" si="17"/>
        <v>313.7120525571936</v>
      </c>
      <c r="AO18">
        <f t="shared" si="18"/>
        <v>0.92282841301960539</v>
      </c>
      <c r="AP18">
        <f t="shared" si="19"/>
        <v>0.22859492726862113</v>
      </c>
      <c r="AQ18">
        <f t="shared" si="20"/>
        <v>1.4391570206068216</v>
      </c>
      <c r="AR18">
        <f t="shared" si="21"/>
        <v>0.90383687890133368</v>
      </c>
      <c r="AS18">
        <f t="shared" si="22"/>
        <v>8.2551724137931048E-2</v>
      </c>
    </row>
    <row r="19" spans="2:45" x14ac:dyDescent="0.2">
      <c r="B19">
        <v>79.2</v>
      </c>
      <c r="C19">
        <v>8.1425999999999998</v>
      </c>
      <c r="D19">
        <v>0.10285999999999999</v>
      </c>
      <c r="E19">
        <v>20.92</v>
      </c>
      <c r="F19">
        <v>266.49</v>
      </c>
      <c r="K19">
        <v>20</v>
      </c>
      <c r="L19">
        <v>60</v>
      </c>
      <c r="M19" s="6"/>
      <c r="N19" s="6"/>
      <c r="O19" s="6"/>
      <c r="P19" s="6"/>
      <c r="Q19" s="6"/>
      <c r="R19">
        <f t="shared" si="1"/>
        <v>0</v>
      </c>
      <c r="S19">
        <f t="shared" si="2"/>
        <v>0</v>
      </c>
      <c r="T19">
        <f t="shared" si="3"/>
        <v>0</v>
      </c>
      <c r="U19">
        <f t="shared" si="4"/>
        <v>0</v>
      </c>
      <c r="V19">
        <f t="shared" si="5"/>
        <v>0</v>
      </c>
      <c r="W19">
        <f t="shared" si="5"/>
        <v>0</v>
      </c>
      <c r="X19">
        <f t="shared" si="5"/>
        <v>0</v>
      </c>
      <c r="Y19">
        <f t="shared" si="5"/>
        <v>0</v>
      </c>
      <c r="Z19">
        <f t="shared" si="6"/>
        <v>31.746031746031743</v>
      </c>
      <c r="AA19">
        <f t="shared" si="7"/>
        <v>95.238095238095227</v>
      </c>
      <c r="AB19">
        <f t="shared" si="8"/>
        <v>317.46031746031741</v>
      </c>
      <c r="AC19">
        <f t="shared" si="9"/>
        <v>4.4816007508170518E-2</v>
      </c>
      <c r="AE19">
        <f t="shared" si="10"/>
        <v>0.15453795692472594</v>
      </c>
      <c r="AG19">
        <f t="shared" si="11"/>
        <v>0.46800342009367707</v>
      </c>
      <c r="AH19">
        <f t="shared" si="12"/>
        <v>9.0852130325814517</v>
      </c>
      <c r="AI19">
        <f t="shared" si="13"/>
        <v>0.33333333333333331</v>
      </c>
      <c r="AJ19">
        <f t="shared" si="14"/>
        <v>7.0836367430195668E-2</v>
      </c>
      <c r="AK19">
        <f t="shared" si="15"/>
        <v>3.2840722495894911E-2</v>
      </c>
      <c r="AM19">
        <f t="shared" si="16"/>
        <v>22.222222222222221</v>
      </c>
      <c r="AN19">
        <f t="shared" si="17"/>
        <v>313.7120525571936</v>
      </c>
      <c r="AO19">
        <f t="shared" si="18"/>
        <v>0.57424098306985427</v>
      </c>
      <c r="AP19">
        <f t="shared" si="19"/>
        <v>0.14224591907610246</v>
      </c>
      <c r="AQ19">
        <f t="shared" si="20"/>
        <v>0.88470538304401469</v>
      </c>
      <c r="AR19">
        <f t="shared" si="21"/>
        <v>0.5556234244825814</v>
      </c>
      <c r="AS19">
        <f t="shared" si="22"/>
        <v>3.66896551724138E-2</v>
      </c>
    </row>
    <row r="20" spans="2:45" x14ac:dyDescent="0.2">
      <c r="B20">
        <v>62.9</v>
      </c>
      <c r="C20">
        <v>7.2850999999999999</v>
      </c>
      <c r="D20">
        <v>0.11583</v>
      </c>
      <c r="E20">
        <v>20.91</v>
      </c>
      <c r="F20">
        <v>238.43</v>
      </c>
      <c r="K20">
        <v>20</v>
      </c>
      <c r="L20">
        <v>80</v>
      </c>
      <c r="M20" s="6"/>
      <c r="N20" s="6"/>
      <c r="O20" s="6"/>
      <c r="P20" s="6"/>
      <c r="Q20" s="6"/>
      <c r="R20">
        <f t="shared" si="1"/>
        <v>0</v>
      </c>
      <c r="S20">
        <f t="shared" si="2"/>
        <v>0</v>
      </c>
      <c r="T20">
        <f t="shared" si="3"/>
        <v>0</v>
      </c>
      <c r="U20">
        <f t="shared" si="4"/>
        <v>0</v>
      </c>
      <c r="V20">
        <f t="shared" si="5"/>
        <v>0</v>
      </c>
      <c r="W20">
        <f t="shared" si="5"/>
        <v>0</v>
      </c>
      <c r="X20">
        <f t="shared" si="5"/>
        <v>0</v>
      </c>
      <c r="Y20">
        <f t="shared" si="5"/>
        <v>0</v>
      </c>
      <c r="Z20">
        <f t="shared" si="6"/>
        <v>31.746031746031743</v>
      </c>
      <c r="AA20">
        <f t="shared" si="7"/>
        <v>126.98412698412697</v>
      </c>
      <c r="AB20">
        <f t="shared" si="8"/>
        <v>317.46031746031741</v>
      </c>
      <c r="AC20">
        <f t="shared" si="9"/>
        <v>4.4816007508170518E-2</v>
      </c>
      <c r="AE20">
        <f t="shared" si="10"/>
        <v>0.15453795692472594</v>
      </c>
      <c r="AG20">
        <f t="shared" si="11"/>
        <v>0.46800342009367707</v>
      </c>
      <c r="AH20">
        <f t="shared" si="12"/>
        <v>12.11361737677527</v>
      </c>
      <c r="AI20">
        <f t="shared" si="13"/>
        <v>0.25</v>
      </c>
      <c r="AJ20">
        <f t="shared" si="14"/>
        <v>7.0836367430195668E-2</v>
      </c>
      <c r="AK20">
        <f t="shared" si="15"/>
        <v>4.3787629994526546E-2</v>
      </c>
      <c r="AM20">
        <f t="shared" si="16"/>
        <v>22.222222222222221</v>
      </c>
      <c r="AN20">
        <f t="shared" si="17"/>
        <v>313.7120525571936</v>
      </c>
      <c r="AO20">
        <f t="shared" si="18"/>
        <v>0.41012464044251862</v>
      </c>
      <c r="AP20">
        <f t="shared" si="19"/>
        <v>0.10159246402725917</v>
      </c>
      <c r="AQ20">
        <f t="shared" si="20"/>
        <v>0.6264294774804201</v>
      </c>
      <c r="AR20">
        <f t="shared" si="21"/>
        <v>0.39341785202768331</v>
      </c>
      <c r="AS20">
        <f t="shared" si="22"/>
        <v>2.0637931034482762E-2</v>
      </c>
    </row>
    <row r="21" spans="2:45" x14ac:dyDescent="0.2">
      <c r="B21">
        <v>50</v>
      </c>
      <c r="C21">
        <v>6.49</v>
      </c>
      <c r="D21">
        <v>0.12989000000000001</v>
      </c>
      <c r="E21">
        <v>20.91</v>
      </c>
      <c r="F21">
        <v>212.4</v>
      </c>
      <c r="K21">
        <v>5</v>
      </c>
      <c r="L21">
        <v>100</v>
      </c>
      <c r="M21">
        <v>16.318300000000001</v>
      </c>
      <c r="N21">
        <v>1.0824</v>
      </c>
      <c r="O21">
        <v>15.597799999999999</v>
      </c>
      <c r="P21">
        <v>0.10639999999999999</v>
      </c>
      <c r="Q21">
        <f>176/(250/2000)</f>
        <v>1408</v>
      </c>
      <c r="R21">
        <f t="shared" si="1"/>
        <v>63.569536423841065</v>
      </c>
      <c r="S21">
        <f t="shared" si="2"/>
        <v>4.2165952473704715</v>
      </c>
      <c r="T21">
        <f t="shared" si="3"/>
        <v>60.762758083365796</v>
      </c>
      <c r="U21">
        <f t="shared" si="4"/>
        <v>0.41449162446435528</v>
      </c>
      <c r="V21">
        <f t="shared" si="5"/>
        <v>0.605424156417534</v>
      </c>
      <c r="W21">
        <f t="shared" si="5"/>
        <v>4.0158049974956873E-2</v>
      </c>
      <c r="X21">
        <f t="shared" si="5"/>
        <v>0.57869293412729328</v>
      </c>
      <c r="Y21">
        <f t="shared" si="5"/>
        <v>3.9475392806129078E-3</v>
      </c>
      <c r="Z21">
        <f t="shared" si="6"/>
        <v>7.9365079365079358</v>
      </c>
      <c r="AA21">
        <f t="shared" si="7"/>
        <v>158.73015873015871</v>
      </c>
      <c r="AB21">
        <f t="shared" si="8"/>
        <v>79.365079365079353</v>
      </c>
      <c r="AC21">
        <f t="shared" si="9"/>
        <v>0.10276897061540886</v>
      </c>
      <c r="AE21">
        <f t="shared" si="10"/>
        <v>0.3543757607427892</v>
      </c>
      <c r="AG21">
        <f t="shared" si="11"/>
        <v>0.26829827332761291</v>
      </c>
      <c r="AH21">
        <f t="shared" si="12"/>
        <v>15.142021720969085</v>
      </c>
      <c r="AI21">
        <f t="shared" si="13"/>
        <v>0.05</v>
      </c>
      <c r="AJ21">
        <f t="shared" si="14"/>
        <v>7.7226694876692294E-3</v>
      </c>
      <c r="AK21">
        <f t="shared" si="15"/>
        <v>5.4734537493158181E-2</v>
      </c>
      <c r="AM21">
        <f t="shared" si="16"/>
        <v>5.5555555555555554</v>
      </c>
      <c r="AN21">
        <f t="shared" si="17"/>
        <v>719.38279430786201</v>
      </c>
      <c r="AO21">
        <f t="shared" si="18"/>
        <v>7.6812156178228577E-2</v>
      </c>
      <c r="AP21">
        <f t="shared" si="19"/>
        <v>3.5506068252284181E-2</v>
      </c>
      <c r="AQ21">
        <f t="shared" si="20"/>
        <v>9.0804669201210705E-2</v>
      </c>
      <c r="AR21">
        <f t="shared" si="21"/>
        <v>7.0210013477724292E-2</v>
      </c>
      <c r="AS21">
        <f t="shared" si="22"/>
        <v>3.3020689655172426E-3</v>
      </c>
    </row>
    <row r="22" spans="2:45" x14ac:dyDescent="0.2">
      <c r="B22">
        <v>39.700000000000003</v>
      </c>
      <c r="C22">
        <v>5.7582000000000004</v>
      </c>
      <c r="D22">
        <v>0.14505000000000001</v>
      </c>
      <c r="E22">
        <v>20.91</v>
      </c>
      <c r="F22">
        <v>188.45</v>
      </c>
      <c r="K22">
        <v>5</v>
      </c>
      <c r="L22">
        <v>10</v>
      </c>
      <c r="M22">
        <v>82</v>
      </c>
      <c r="N22">
        <v>9.3808319999999998</v>
      </c>
      <c r="O22">
        <v>67.714290000000005</v>
      </c>
      <c r="P22">
        <v>0.48794999999999999</v>
      </c>
      <c r="Q22">
        <f>18/(250/250)</f>
        <v>18</v>
      </c>
      <c r="R22">
        <f t="shared" si="1"/>
        <v>319.43903389170242</v>
      </c>
      <c r="S22">
        <f t="shared" si="2"/>
        <v>36.543950136345934</v>
      </c>
      <c r="T22">
        <f t="shared" si="3"/>
        <v>263.78765095442157</v>
      </c>
      <c r="U22">
        <f t="shared" si="4"/>
        <v>1.9008570315543436</v>
      </c>
      <c r="V22">
        <f t="shared" si="5"/>
        <v>3.0422765132543086</v>
      </c>
      <c r="W22">
        <f t="shared" si="5"/>
        <v>0.34803762034615177</v>
      </c>
      <c r="X22">
        <f t="shared" si="5"/>
        <v>2.5122633424230627</v>
      </c>
      <c r="Y22">
        <f t="shared" si="5"/>
        <v>1.8103400300517557E-2</v>
      </c>
      <c r="Z22">
        <f t="shared" si="6"/>
        <v>7.9365079365079358</v>
      </c>
      <c r="AA22">
        <f t="shared" si="7"/>
        <v>15.873015873015872</v>
      </c>
      <c r="AB22">
        <f t="shared" si="8"/>
        <v>79.365079365079353</v>
      </c>
      <c r="AC22">
        <f t="shared" si="9"/>
        <v>0.10276897061540886</v>
      </c>
      <c r="AE22">
        <f t="shared" si="10"/>
        <v>0.3543757607427892</v>
      </c>
      <c r="AG22">
        <f t="shared" si="11"/>
        <v>0.26829827332761291</v>
      </c>
      <c r="AH22">
        <f t="shared" si="12"/>
        <v>1.5142021720969088</v>
      </c>
      <c r="AI22">
        <f t="shared" si="13"/>
        <v>0.5</v>
      </c>
      <c r="AJ22">
        <f t="shared" si="14"/>
        <v>7.7226694876692294E-3</v>
      </c>
      <c r="AK22">
        <f t="shared" si="15"/>
        <v>5.4734537493158182E-3</v>
      </c>
      <c r="AM22">
        <f t="shared" si="16"/>
        <v>5.5555555555555554</v>
      </c>
      <c r="AN22">
        <f t="shared" si="17"/>
        <v>719.38279430786201</v>
      </c>
      <c r="AO22">
        <f t="shared" si="18"/>
        <v>1.136135045165042</v>
      </c>
      <c r="AP22">
        <f t="shared" si="19"/>
        <v>0.52517323382826386</v>
      </c>
      <c r="AQ22">
        <f t="shared" si="20"/>
        <v>1.4391570206068216</v>
      </c>
      <c r="AR22">
        <f t="shared" si="21"/>
        <v>1.1127537240344825</v>
      </c>
      <c r="AS22">
        <f t="shared" si="22"/>
        <v>0.33020689655172419</v>
      </c>
    </row>
    <row r="23" spans="2:45" x14ac:dyDescent="0.2">
      <c r="B23">
        <v>31.5</v>
      </c>
      <c r="C23">
        <v>5.0843999999999996</v>
      </c>
      <c r="D23">
        <v>0.16120999999999999</v>
      </c>
      <c r="E23">
        <v>20.91</v>
      </c>
      <c r="F23">
        <v>166.4</v>
      </c>
      <c r="K23">
        <v>5</v>
      </c>
      <c r="L23">
        <v>20</v>
      </c>
      <c r="M23">
        <v>63.302500000000002</v>
      </c>
      <c r="N23">
        <v>1.0720000000000001</v>
      </c>
      <c r="O23">
        <v>62.271099999999997</v>
      </c>
      <c r="P23">
        <v>0.77700000000000002</v>
      </c>
      <c r="Q23">
        <f>14/(250/500)</f>
        <v>28</v>
      </c>
      <c r="R23">
        <f t="shared" si="1"/>
        <v>246.60109076743282</v>
      </c>
      <c r="S23">
        <f t="shared" si="2"/>
        <v>4.1760810284378653</v>
      </c>
      <c r="T23">
        <f t="shared" si="3"/>
        <v>242.58317101675107</v>
      </c>
      <c r="U23">
        <f t="shared" si="4"/>
        <v>3.0268796260225947</v>
      </c>
      <c r="V23">
        <f t="shared" si="5"/>
        <v>2.3485818168326937</v>
      </c>
      <c r="W23">
        <f t="shared" si="5"/>
        <v>3.9772200270836812E-2</v>
      </c>
      <c r="X23">
        <f t="shared" si="5"/>
        <v>2.3103159144452481</v>
      </c>
      <c r="Y23">
        <f t="shared" si="5"/>
        <v>2.8827425009738998E-2</v>
      </c>
      <c r="Z23">
        <f t="shared" si="6"/>
        <v>7.9365079365079358</v>
      </c>
      <c r="AA23">
        <f t="shared" si="7"/>
        <v>31.746031746031743</v>
      </c>
      <c r="AB23">
        <f t="shared" si="8"/>
        <v>79.365079365079353</v>
      </c>
      <c r="AC23">
        <f t="shared" si="9"/>
        <v>0.10276897061540886</v>
      </c>
      <c r="AE23">
        <f t="shared" si="10"/>
        <v>0.3543757607427892</v>
      </c>
      <c r="AG23">
        <f t="shared" si="11"/>
        <v>0.26829827332761291</v>
      </c>
      <c r="AH23">
        <f t="shared" si="12"/>
        <v>3.0284043441938175</v>
      </c>
      <c r="AI23">
        <f t="shared" si="13"/>
        <v>0.25</v>
      </c>
      <c r="AJ23">
        <f t="shared" si="14"/>
        <v>7.7226694876692294E-3</v>
      </c>
      <c r="AK23">
        <f t="shared" si="15"/>
        <v>1.0946907498631636E-2</v>
      </c>
      <c r="AM23">
        <f t="shared" si="16"/>
        <v>5.5555555555555554</v>
      </c>
      <c r="AN23">
        <f t="shared" si="17"/>
        <v>719.38279430786201</v>
      </c>
      <c r="AO23">
        <f t="shared" si="18"/>
        <v>0.50492265985589935</v>
      </c>
      <c r="AP23">
        <f t="shared" si="19"/>
        <v>0.23339819261641614</v>
      </c>
      <c r="AQ23">
        <f t="shared" si="20"/>
        <v>0.6264294774804201</v>
      </c>
      <c r="AR23">
        <f t="shared" si="21"/>
        <v>0.48435419063403934</v>
      </c>
      <c r="AS23">
        <f t="shared" si="22"/>
        <v>8.2551724137931048E-2</v>
      </c>
    </row>
    <row r="24" spans="2:45" x14ac:dyDescent="0.2">
      <c r="B24">
        <v>25.1</v>
      </c>
      <c r="C24">
        <v>4.4665999999999997</v>
      </c>
      <c r="D24">
        <v>0.17826</v>
      </c>
      <c r="E24">
        <v>20.91</v>
      </c>
      <c r="F24">
        <v>146.18</v>
      </c>
      <c r="K24">
        <v>5</v>
      </c>
      <c r="L24">
        <v>30</v>
      </c>
      <c r="M24">
        <v>40.000599999999999</v>
      </c>
      <c r="N24">
        <v>0.85760000000000003</v>
      </c>
      <c r="O24">
        <v>38.6556</v>
      </c>
      <c r="P24">
        <v>0.89759999999999995</v>
      </c>
      <c r="Q24">
        <f>52/(250/500)</f>
        <v>104</v>
      </c>
      <c r="R24">
        <f t="shared" si="1"/>
        <v>155.82625633034672</v>
      </c>
      <c r="S24">
        <f t="shared" si="2"/>
        <v>3.3408648227502926</v>
      </c>
      <c r="T24">
        <f t="shared" si="3"/>
        <v>150.58667705492795</v>
      </c>
      <c r="U24">
        <f t="shared" si="4"/>
        <v>3.4966887417218544</v>
      </c>
      <c r="V24">
        <f t="shared" si="5"/>
        <v>1.4840595840985402</v>
      </c>
      <c r="W24">
        <f t="shared" si="5"/>
        <v>3.1817760216669454E-2</v>
      </c>
      <c r="X24">
        <f t="shared" si="5"/>
        <v>1.4341588290945519</v>
      </c>
      <c r="Y24">
        <f t="shared" si="5"/>
        <v>3.3301797540208136E-2</v>
      </c>
      <c r="Z24">
        <f t="shared" si="6"/>
        <v>7.9365079365079358</v>
      </c>
      <c r="AA24">
        <f t="shared" si="7"/>
        <v>47.619047619047613</v>
      </c>
      <c r="AB24">
        <f t="shared" si="8"/>
        <v>79.365079365079353</v>
      </c>
      <c r="AC24">
        <f t="shared" si="9"/>
        <v>0.10276897061540886</v>
      </c>
      <c r="AE24">
        <f t="shared" si="10"/>
        <v>0.3543757607427892</v>
      </c>
      <c r="AG24">
        <f t="shared" si="11"/>
        <v>0.26829827332761291</v>
      </c>
      <c r="AH24">
        <f t="shared" si="12"/>
        <v>4.5426065162907259</v>
      </c>
      <c r="AI24">
        <f t="shared" si="13"/>
        <v>0.16666666666666666</v>
      </c>
      <c r="AJ24">
        <f t="shared" si="14"/>
        <v>7.7226694876692294E-3</v>
      </c>
      <c r="AK24">
        <f t="shared" si="15"/>
        <v>1.6420361247947456E-2</v>
      </c>
      <c r="AM24">
        <f t="shared" si="16"/>
        <v>5.5555555555555554</v>
      </c>
      <c r="AN24">
        <f t="shared" si="17"/>
        <v>719.38279430786201</v>
      </c>
      <c r="AO24">
        <f t="shared" si="18"/>
        <v>0.31419414538955837</v>
      </c>
      <c r="AP24">
        <f t="shared" si="19"/>
        <v>0.14523480820906479</v>
      </c>
      <c r="AQ24">
        <f t="shared" si="20"/>
        <v>0.38509038478004015</v>
      </c>
      <c r="AR24">
        <f t="shared" si="21"/>
        <v>0.29775122076198446</v>
      </c>
      <c r="AS24">
        <f t="shared" si="22"/>
        <v>3.66896551724138E-2</v>
      </c>
    </row>
    <row r="25" spans="2:45" x14ac:dyDescent="0.2">
      <c r="B25">
        <v>19.899999999999999</v>
      </c>
      <c r="C25">
        <v>3.9037999999999999</v>
      </c>
      <c r="D25">
        <v>0.19611000000000001</v>
      </c>
      <c r="E25">
        <v>20.91</v>
      </c>
      <c r="F25">
        <v>127.76</v>
      </c>
      <c r="K25">
        <v>5</v>
      </c>
      <c r="L25">
        <v>40</v>
      </c>
      <c r="M25">
        <v>39.576999999999998</v>
      </c>
      <c r="N25">
        <v>0.55569999999999997</v>
      </c>
      <c r="O25">
        <v>38.188699999999997</v>
      </c>
      <c r="P25">
        <v>0.56040000000000001</v>
      </c>
      <c r="Q25">
        <f>34/(250/250)</f>
        <v>34</v>
      </c>
      <c r="R25">
        <f t="shared" si="1"/>
        <v>154.17608102843786</v>
      </c>
      <c r="S25">
        <f t="shared" si="2"/>
        <v>2.1647837943124268</v>
      </c>
      <c r="T25">
        <f t="shared" si="3"/>
        <v>148.76782236073237</v>
      </c>
      <c r="U25">
        <f t="shared" si="4"/>
        <v>2.1830931047915856</v>
      </c>
      <c r="V25">
        <f t="shared" si="5"/>
        <v>1.4683436288422653</v>
      </c>
      <c r="W25">
        <f t="shared" si="5"/>
        <v>2.0616988517261209E-2</v>
      </c>
      <c r="X25">
        <f t="shared" si="5"/>
        <v>1.4168364034355463</v>
      </c>
      <c r="Y25">
        <f t="shared" si="5"/>
        <v>2.0791362902777007E-2</v>
      </c>
      <c r="Z25">
        <f t="shared" si="6"/>
        <v>7.9365079365079358</v>
      </c>
      <c r="AA25">
        <f t="shared" si="7"/>
        <v>63.492063492063487</v>
      </c>
      <c r="AB25">
        <f t="shared" si="8"/>
        <v>79.365079365079353</v>
      </c>
      <c r="AC25">
        <f t="shared" si="9"/>
        <v>0.10276897061540886</v>
      </c>
      <c r="AE25">
        <f t="shared" si="10"/>
        <v>0.3543757607427892</v>
      </c>
      <c r="AG25">
        <f t="shared" si="11"/>
        <v>0.26829827332761291</v>
      </c>
      <c r="AH25">
        <f t="shared" si="12"/>
        <v>6.0568086883876351</v>
      </c>
      <c r="AI25">
        <f t="shared" si="13"/>
        <v>0.125</v>
      </c>
      <c r="AJ25">
        <f t="shared" si="14"/>
        <v>7.7226694876692294E-3</v>
      </c>
      <c r="AK25">
        <f t="shared" si="15"/>
        <v>2.1893814997263273E-2</v>
      </c>
      <c r="AM25">
        <f t="shared" si="16"/>
        <v>5.5555555555555554</v>
      </c>
      <c r="AN25">
        <f t="shared" si="17"/>
        <v>719.38279430786201</v>
      </c>
      <c r="AO25">
        <f t="shared" si="18"/>
        <v>0.22439840538403688</v>
      </c>
      <c r="AP25">
        <f t="shared" si="19"/>
        <v>0.10372713765230347</v>
      </c>
      <c r="AQ25">
        <f t="shared" si="20"/>
        <v>0.27266926724293822</v>
      </c>
      <c r="AR25">
        <f t="shared" si="21"/>
        <v>0.21082740674565059</v>
      </c>
      <c r="AS25">
        <f t="shared" si="22"/>
        <v>2.0637931034482762E-2</v>
      </c>
    </row>
    <row r="26" spans="2:45" x14ac:dyDescent="0.2">
      <c r="B26">
        <v>15.8</v>
      </c>
      <c r="C26">
        <v>3.3915000000000002</v>
      </c>
      <c r="D26">
        <v>0.21446000000000001</v>
      </c>
      <c r="E26">
        <v>20.9</v>
      </c>
      <c r="F26">
        <v>111</v>
      </c>
      <c r="K26">
        <v>5</v>
      </c>
      <c r="L26">
        <v>50</v>
      </c>
      <c r="M26">
        <v>28.714300000000001</v>
      </c>
      <c r="N26">
        <v>1.2536</v>
      </c>
      <c r="O26">
        <v>27.5</v>
      </c>
      <c r="P26">
        <v>1.5165999999999999</v>
      </c>
      <c r="Q26">
        <f>47/(250/1000)</f>
        <v>188</v>
      </c>
      <c r="R26">
        <f t="shared" si="1"/>
        <v>111.85936891312818</v>
      </c>
      <c r="S26">
        <f t="shared" si="2"/>
        <v>4.8835216205687582</v>
      </c>
      <c r="T26">
        <f t="shared" si="3"/>
        <v>107.12894429294897</v>
      </c>
      <c r="U26">
        <f t="shared" si="4"/>
        <v>5.9080638878067786</v>
      </c>
      <c r="V26">
        <f t="shared" si="5"/>
        <v>1.0653273229821731</v>
      </c>
      <c r="W26">
        <f t="shared" si="5"/>
        <v>4.6509729719702457E-2</v>
      </c>
      <c r="X26">
        <f t="shared" si="5"/>
        <v>1.0202756599328473</v>
      </c>
      <c r="Y26">
        <f t="shared" si="5"/>
        <v>5.6267275121969322E-2</v>
      </c>
      <c r="Z26">
        <f t="shared" si="6"/>
        <v>7.9365079365079358</v>
      </c>
      <c r="AA26">
        <f t="shared" si="7"/>
        <v>79.365079365079353</v>
      </c>
      <c r="AB26">
        <f t="shared" si="8"/>
        <v>79.365079365079353</v>
      </c>
      <c r="AC26">
        <f t="shared" si="9"/>
        <v>0.10276897061540886</v>
      </c>
      <c r="AE26">
        <f t="shared" si="10"/>
        <v>0.3543757607427892</v>
      </c>
      <c r="AG26">
        <f t="shared" si="11"/>
        <v>0.26829827332761291</v>
      </c>
      <c r="AH26">
        <f t="shared" si="12"/>
        <v>7.5710108604845425</v>
      </c>
      <c r="AI26">
        <f t="shared" si="13"/>
        <v>0.1</v>
      </c>
      <c r="AJ26">
        <f t="shared" si="14"/>
        <v>7.7226694876692294E-3</v>
      </c>
      <c r="AK26">
        <f t="shared" si="15"/>
        <v>2.736726874657909E-2</v>
      </c>
      <c r="AM26">
        <f t="shared" si="16"/>
        <v>5.5555555555555554</v>
      </c>
      <c r="AN26">
        <f t="shared" si="17"/>
        <v>719.38279430786201</v>
      </c>
      <c r="AO26">
        <f t="shared" si="18"/>
        <v>0.17283633607111601</v>
      </c>
      <c r="AP26">
        <f t="shared" si="19"/>
        <v>7.989280669034457E-2</v>
      </c>
      <c r="AQ26">
        <f t="shared" si="20"/>
        <v>0.20861434827496134</v>
      </c>
      <c r="AR26">
        <f t="shared" si="21"/>
        <v>0.16130025397236314</v>
      </c>
      <c r="AS26">
        <f t="shared" si="22"/>
        <v>1.320827586206897E-2</v>
      </c>
    </row>
    <row r="27" spans="2:45" x14ac:dyDescent="0.2">
      <c r="B27">
        <v>12.6</v>
      </c>
      <c r="C27">
        <v>2.9293999999999998</v>
      </c>
      <c r="D27">
        <v>0.23315</v>
      </c>
      <c r="E27">
        <v>20.9</v>
      </c>
      <c r="F27">
        <v>95.872</v>
      </c>
      <c r="K27">
        <v>5</v>
      </c>
      <c r="L27">
        <v>100</v>
      </c>
      <c r="R27">
        <f t="shared" si="1"/>
        <v>0</v>
      </c>
      <c r="S27">
        <f t="shared" si="2"/>
        <v>0</v>
      </c>
      <c r="T27">
        <f t="shared" si="3"/>
        <v>0</v>
      </c>
      <c r="U27">
        <f t="shared" si="4"/>
        <v>0</v>
      </c>
      <c r="V27">
        <f t="shared" si="5"/>
        <v>0</v>
      </c>
      <c r="W27">
        <f t="shared" si="5"/>
        <v>0</v>
      </c>
      <c r="X27">
        <f t="shared" si="5"/>
        <v>0</v>
      </c>
      <c r="Y27">
        <f t="shared" si="5"/>
        <v>0</v>
      </c>
      <c r="Z27">
        <f t="shared" si="6"/>
        <v>7.9365079365079358</v>
      </c>
      <c r="AA27">
        <f t="shared" si="7"/>
        <v>158.73015873015871</v>
      </c>
      <c r="AB27">
        <f t="shared" si="8"/>
        <v>79.365079365079353</v>
      </c>
      <c r="AC27">
        <f t="shared" si="9"/>
        <v>0.10276897061540886</v>
      </c>
      <c r="AE27">
        <f t="shared" si="10"/>
        <v>0.3543757607427892</v>
      </c>
      <c r="AG27">
        <f t="shared" si="11"/>
        <v>0.26829827332761291</v>
      </c>
      <c r="AH27">
        <f t="shared" si="12"/>
        <v>15.142021720969085</v>
      </c>
      <c r="AI27">
        <f t="shared" si="13"/>
        <v>0.05</v>
      </c>
      <c r="AJ27">
        <f t="shared" si="14"/>
        <v>7.7226694876692294E-3</v>
      </c>
      <c r="AK27">
        <f t="shared" si="15"/>
        <v>5.4734537493158181E-2</v>
      </c>
      <c r="AM27">
        <f t="shared" si="16"/>
        <v>5.5555555555555554</v>
      </c>
      <c r="AN27">
        <f t="shared" si="17"/>
        <v>719.38279430786201</v>
      </c>
      <c r="AO27">
        <f t="shared" si="18"/>
        <v>7.6812156178228577E-2</v>
      </c>
      <c r="AP27">
        <f t="shared" si="19"/>
        <v>3.5506068252284181E-2</v>
      </c>
      <c r="AQ27">
        <f t="shared" si="20"/>
        <v>9.0804669201210705E-2</v>
      </c>
      <c r="AR27">
        <f t="shared" si="21"/>
        <v>7.0210013477724292E-2</v>
      </c>
      <c r="AS27">
        <f t="shared" si="22"/>
        <v>3.3020689655172426E-3</v>
      </c>
    </row>
    <row r="28" spans="2:45" x14ac:dyDescent="0.2">
      <c r="B28">
        <v>9.98</v>
      </c>
      <c r="C28">
        <v>2.5145</v>
      </c>
      <c r="D28">
        <v>0.25192999999999999</v>
      </c>
      <c r="E28">
        <v>20.9</v>
      </c>
      <c r="F28">
        <v>82.295000000000002</v>
      </c>
      <c r="K28">
        <v>5</v>
      </c>
      <c r="L28">
        <v>60</v>
      </c>
      <c r="M28">
        <v>24.679400000000001</v>
      </c>
      <c r="N28">
        <v>1.7189000000000001</v>
      </c>
      <c r="O28">
        <v>23.8445</v>
      </c>
      <c r="P28">
        <v>1.7710999999999999</v>
      </c>
      <c r="Q28">
        <f>68/(250/1000)</f>
        <v>272</v>
      </c>
      <c r="R28">
        <f t="shared" si="1"/>
        <v>96.141020646669276</v>
      </c>
      <c r="S28">
        <f t="shared" si="2"/>
        <v>6.6961433580054548</v>
      </c>
      <c r="T28">
        <f t="shared" si="3"/>
        <v>92.888585897935343</v>
      </c>
      <c r="U28">
        <f t="shared" si="4"/>
        <v>6.8994935722633421</v>
      </c>
      <c r="V28">
        <f t="shared" si="5"/>
        <v>0.9156287680635169</v>
      </c>
      <c r="W28">
        <f t="shared" si="5"/>
        <v>6.3772793885766232E-2</v>
      </c>
      <c r="X28">
        <f t="shared" si="5"/>
        <v>0.88465319902795569</v>
      </c>
      <c r="Y28">
        <f t="shared" si="5"/>
        <v>6.5709462592984214E-2</v>
      </c>
      <c r="Z28">
        <f t="shared" si="6"/>
        <v>7.9365079365079358</v>
      </c>
      <c r="AA28">
        <f t="shared" si="7"/>
        <v>95.238095238095227</v>
      </c>
      <c r="AB28">
        <f t="shared" si="8"/>
        <v>79.365079365079353</v>
      </c>
      <c r="AC28">
        <f t="shared" si="9"/>
        <v>0.10276897061540886</v>
      </c>
      <c r="AE28">
        <f t="shared" si="10"/>
        <v>0.3543757607427892</v>
      </c>
      <c r="AG28">
        <f t="shared" si="11"/>
        <v>0.26829827332761291</v>
      </c>
      <c r="AH28">
        <f t="shared" si="12"/>
        <v>9.0852130325814517</v>
      </c>
      <c r="AI28">
        <f t="shared" si="13"/>
        <v>8.3333333333333329E-2</v>
      </c>
      <c r="AJ28">
        <f t="shared" si="14"/>
        <v>7.7226694876692294E-3</v>
      </c>
      <c r="AK28">
        <f t="shared" si="15"/>
        <v>3.2840722495894911E-2</v>
      </c>
      <c r="AM28">
        <f t="shared" si="16"/>
        <v>5.5555555555555554</v>
      </c>
      <c r="AN28">
        <f t="shared" si="17"/>
        <v>719.38279430786201</v>
      </c>
      <c r="AO28">
        <f t="shared" si="18"/>
        <v>0.1396345832974471</v>
      </c>
      <c r="AP28">
        <f t="shared" si="19"/>
        <v>6.4545448163628866E-2</v>
      </c>
      <c r="AQ28">
        <f t="shared" si="20"/>
        <v>0.16762032569509255</v>
      </c>
      <c r="AR28">
        <f t="shared" si="21"/>
        <v>0.12960374647822709</v>
      </c>
      <c r="AS28">
        <f t="shared" si="22"/>
        <v>9.17241379310345E-3</v>
      </c>
    </row>
    <row r="29" spans="2:45" x14ac:dyDescent="0.2">
      <c r="B29">
        <v>7.93</v>
      </c>
      <c r="C29">
        <v>2.1440000000000001</v>
      </c>
      <c r="D29">
        <v>0.27041999999999999</v>
      </c>
      <c r="E29">
        <v>20.9</v>
      </c>
      <c r="F29">
        <v>70.168000000000006</v>
      </c>
      <c r="K29">
        <v>5</v>
      </c>
      <c r="L29">
        <v>70</v>
      </c>
      <c r="M29">
        <v>27.921099999999999</v>
      </c>
      <c r="N29">
        <v>0.88619999999999999</v>
      </c>
      <c r="O29">
        <v>27.446999999999999</v>
      </c>
      <c r="P29">
        <v>0.95930000000000004</v>
      </c>
      <c r="Q29">
        <f>32/(250/2000)</f>
        <v>256</v>
      </c>
      <c r="R29">
        <f t="shared" si="1"/>
        <v>108.76938059992209</v>
      </c>
      <c r="S29">
        <f t="shared" si="2"/>
        <v>3.4522789248149595</v>
      </c>
      <c r="T29">
        <f t="shared" si="3"/>
        <v>106.92247760031165</v>
      </c>
      <c r="U29">
        <f t="shared" si="4"/>
        <v>3.7370471367354892</v>
      </c>
      <c r="V29">
        <f t="shared" si="5"/>
        <v>1.0358988628564008</v>
      </c>
      <c r="W29">
        <f t="shared" si="5"/>
        <v>3.2878846902999616E-2</v>
      </c>
      <c r="X29">
        <f t="shared" si="5"/>
        <v>1.0183093104791585</v>
      </c>
      <c r="Y29">
        <f t="shared" si="5"/>
        <v>3.5590925111766564E-2</v>
      </c>
      <c r="Z29">
        <f t="shared" si="6"/>
        <v>7.9365079365079358</v>
      </c>
      <c r="AA29">
        <f t="shared" si="7"/>
        <v>111.1111111111111</v>
      </c>
      <c r="AB29">
        <f t="shared" si="8"/>
        <v>79.365079365079353</v>
      </c>
      <c r="AC29">
        <f t="shared" si="9"/>
        <v>0.10276897061540886</v>
      </c>
      <c r="AE29">
        <f t="shared" si="10"/>
        <v>0.3543757607427892</v>
      </c>
      <c r="AG29">
        <f t="shared" si="11"/>
        <v>0.26829827332761291</v>
      </c>
      <c r="AH29">
        <f t="shared" si="12"/>
        <v>10.599415204678362</v>
      </c>
      <c r="AI29">
        <f t="shared" si="13"/>
        <v>7.1428571428571425E-2</v>
      </c>
      <c r="AJ29">
        <f t="shared" si="14"/>
        <v>7.7226694876692294E-3</v>
      </c>
      <c r="AK29">
        <f t="shared" si="15"/>
        <v>3.8314176245210725E-2</v>
      </c>
      <c r="AM29">
        <f t="shared" si="16"/>
        <v>5.5555555555555554</v>
      </c>
      <c r="AN29">
        <f t="shared" si="17"/>
        <v>719.38279430786201</v>
      </c>
      <c r="AO29">
        <f t="shared" si="18"/>
        <v>0.11659105965190689</v>
      </c>
      <c r="AP29">
        <f t="shared" si="19"/>
        <v>5.3893684640245583E-2</v>
      </c>
      <c r="AQ29">
        <f t="shared" si="20"/>
        <v>0.13931264332287188</v>
      </c>
      <c r="AR29">
        <f t="shared" si="21"/>
        <v>0.10771629533325604</v>
      </c>
      <c r="AS29">
        <f t="shared" si="22"/>
        <v>6.7389162561576352E-3</v>
      </c>
    </row>
    <row r="30" spans="2:45" x14ac:dyDescent="0.2">
      <c r="B30">
        <v>6.3</v>
      </c>
      <c r="C30">
        <v>1.8187</v>
      </c>
      <c r="D30">
        <v>0.28867999999999999</v>
      </c>
      <c r="E30">
        <v>20.9</v>
      </c>
      <c r="F30">
        <v>59.521000000000001</v>
      </c>
      <c r="K30">
        <v>5</v>
      </c>
      <c r="L30">
        <v>80</v>
      </c>
      <c r="M30">
        <v>22.651299999999999</v>
      </c>
      <c r="N30">
        <v>1.3891</v>
      </c>
      <c r="O30">
        <v>22.199300000000001</v>
      </c>
      <c r="P30">
        <v>1.2593000000000001</v>
      </c>
      <c r="Q30">
        <f>45/(250/2000)</f>
        <v>360</v>
      </c>
      <c r="R30">
        <f t="shared" si="1"/>
        <v>88.240358395013644</v>
      </c>
      <c r="S30">
        <f t="shared" si="2"/>
        <v>5.4113751460849242</v>
      </c>
      <c r="T30">
        <f t="shared" si="3"/>
        <v>86.479548110634994</v>
      </c>
      <c r="U30">
        <f t="shared" si="4"/>
        <v>4.9057265290222052</v>
      </c>
      <c r="V30">
        <f t="shared" si="5"/>
        <v>0.84038436566679664</v>
      </c>
      <c r="W30">
        <f t="shared" si="5"/>
        <v>5.1536906153189753E-2</v>
      </c>
      <c r="X30">
        <f t="shared" si="5"/>
        <v>0.82361474391080947</v>
      </c>
      <c r="Y30">
        <f t="shared" si="5"/>
        <v>4.6721205038306714E-2</v>
      </c>
      <c r="Z30">
        <f t="shared" si="6"/>
        <v>7.9365079365079358</v>
      </c>
      <c r="AA30">
        <f t="shared" si="7"/>
        <v>126.98412698412697</v>
      </c>
      <c r="AB30">
        <f t="shared" si="8"/>
        <v>79.365079365079353</v>
      </c>
      <c r="AC30">
        <f t="shared" si="9"/>
        <v>0.10276897061540886</v>
      </c>
      <c r="AE30">
        <f t="shared" si="10"/>
        <v>0.3543757607427892</v>
      </c>
      <c r="AG30">
        <f t="shared" si="11"/>
        <v>0.26829827332761291</v>
      </c>
      <c r="AH30">
        <f t="shared" si="12"/>
        <v>12.11361737677527</v>
      </c>
      <c r="AI30">
        <f t="shared" si="13"/>
        <v>6.25E-2</v>
      </c>
      <c r="AJ30">
        <f t="shared" si="14"/>
        <v>7.7226694876692294E-3</v>
      </c>
      <c r="AK30">
        <f t="shared" si="15"/>
        <v>4.3787629994526546E-2</v>
      </c>
      <c r="AM30">
        <f t="shared" si="16"/>
        <v>5.5555555555555554</v>
      </c>
      <c r="AN30">
        <f t="shared" si="17"/>
        <v>719.38279430786201</v>
      </c>
      <c r="AO30">
        <f t="shared" si="18"/>
        <v>9.972744014552512E-2</v>
      </c>
      <c r="AP30">
        <f t="shared" si="19"/>
        <v>4.6098553570303652E-2</v>
      </c>
      <c r="AQ30">
        <f t="shared" si="20"/>
        <v>0.11868619209594064</v>
      </c>
      <c r="AR30">
        <f t="shared" si="21"/>
        <v>9.1767958850343598E-2</v>
      </c>
      <c r="AS30">
        <f t="shared" si="22"/>
        <v>5.1594827586206905E-3</v>
      </c>
    </row>
    <row r="31" spans="2:45" x14ac:dyDescent="0.2">
      <c r="B31">
        <v>5.01</v>
      </c>
      <c r="C31">
        <v>1.5357000000000001</v>
      </c>
      <c r="D31">
        <v>0.30663000000000001</v>
      </c>
      <c r="E31">
        <v>20.9</v>
      </c>
      <c r="F31">
        <v>50.259</v>
      </c>
      <c r="K31">
        <v>5</v>
      </c>
      <c r="L31">
        <v>90</v>
      </c>
      <c r="M31">
        <v>25.666699999999999</v>
      </c>
      <c r="N31">
        <v>1.21106</v>
      </c>
      <c r="O31">
        <v>24.16667</v>
      </c>
      <c r="P31">
        <v>0.98319199999999995</v>
      </c>
      <c r="Q31">
        <f>39/(250/2000)</f>
        <v>312</v>
      </c>
      <c r="R31">
        <f t="shared" si="1"/>
        <v>99.987144526684844</v>
      </c>
      <c r="S31">
        <f t="shared" si="2"/>
        <v>4.7178028827425011</v>
      </c>
      <c r="T31">
        <f t="shared" si="3"/>
        <v>94.143630697312048</v>
      </c>
      <c r="U31">
        <f t="shared" si="4"/>
        <v>3.8301207635372032</v>
      </c>
      <c r="V31">
        <f t="shared" si="5"/>
        <v>0.95225851930176042</v>
      </c>
      <c r="W31">
        <f t="shared" si="5"/>
        <v>4.493145602611906E-2</v>
      </c>
      <c r="X31">
        <f t="shared" si="5"/>
        <v>0.89660600664106715</v>
      </c>
      <c r="Y31">
        <f t="shared" si="5"/>
        <v>3.6477340605116218E-2</v>
      </c>
      <c r="Z31">
        <f t="shared" si="6"/>
        <v>7.9365079365079358</v>
      </c>
      <c r="AA31">
        <f t="shared" si="7"/>
        <v>142.85714285714283</v>
      </c>
      <c r="AB31">
        <f t="shared" si="8"/>
        <v>79.365079365079353</v>
      </c>
      <c r="AC31">
        <f t="shared" si="9"/>
        <v>0.10276897061540886</v>
      </c>
      <c r="AE31">
        <f t="shared" si="10"/>
        <v>0.3543757607427892</v>
      </c>
      <c r="AG31">
        <f t="shared" si="11"/>
        <v>0.26829827332761291</v>
      </c>
      <c r="AH31">
        <f t="shared" si="12"/>
        <v>13.627819548872177</v>
      </c>
      <c r="AI31">
        <f t="shared" si="13"/>
        <v>5.5555555555555552E-2</v>
      </c>
      <c r="AJ31">
        <f t="shared" si="14"/>
        <v>7.7226694876692294E-3</v>
      </c>
      <c r="AK31">
        <f t="shared" si="15"/>
        <v>4.926108374384236E-2</v>
      </c>
      <c r="AM31">
        <f t="shared" si="16"/>
        <v>5.5555555555555554</v>
      </c>
      <c r="AN31">
        <f t="shared" si="17"/>
        <v>719.38279430786201</v>
      </c>
      <c r="AO31">
        <f t="shared" si="18"/>
        <v>8.6889284348001486E-2</v>
      </c>
      <c r="AP31">
        <f t="shared" si="19"/>
        <v>4.0164174708152506E-2</v>
      </c>
      <c r="AQ31">
        <f t="shared" si="20"/>
        <v>0.10304268563239256</v>
      </c>
      <c r="AR31">
        <f t="shared" si="21"/>
        <v>7.9672426656830206E-2</v>
      </c>
      <c r="AS31">
        <f t="shared" si="22"/>
        <v>4.0766283524904219E-3</v>
      </c>
    </row>
    <row r="32" spans="2:45" x14ac:dyDescent="0.2">
      <c r="B32">
        <v>3.98</v>
      </c>
      <c r="C32">
        <v>1.2887999999999999</v>
      </c>
      <c r="D32">
        <v>0.32393</v>
      </c>
      <c r="E32">
        <v>20.9</v>
      </c>
      <c r="F32">
        <v>42.18</v>
      </c>
    </row>
    <row r="33" spans="2:6" x14ac:dyDescent="0.2">
      <c r="B33">
        <v>3.16</v>
      </c>
      <c r="C33">
        <v>1.0706</v>
      </c>
      <c r="D33">
        <v>0.33883000000000002</v>
      </c>
      <c r="E33">
        <v>20.9</v>
      </c>
      <c r="F33">
        <v>35.037999999999997</v>
      </c>
    </row>
    <row r="34" spans="2:6" x14ac:dyDescent="0.2">
      <c r="B34">
        <v>2.5099999999999998</v>
      </c>
      <c r="C34">
        <v>0.88658999999999999</v>
      </c>
      <c r="D34">
        <v>0.35311999999999999</v>
      </c>
      <c r="E34">
        <v>20.89</v>
      </c>
      <c r="F34">
        <v>29.015999999999998</v>
      </c>
    </row>
    <row r="35" spans="2:6" x14ac:dyDescent="0.2">
      <c r="B35">
        <v>1.99</v>
      </c>
      <c r="C35">
        <v>0.73077000000000003</v>
      </c>
      <c r="D35">
        <v>0.36635000000000001</v>
      </c>
      <c r="E35">
        <v>20.89</v>
      </c>
      <c r="F35">
        <v>23.917000000000002</v>
      </c>
    </row>
    <row r="36" spans="2:6" x14ac:dyDescent="0.2">
      <c r="B36">
        <v>1.58</v>
      </c>
      <c r="C36">
        <v>0.59777000000000002</v>
      </c>
      <c r="D36">
        <v>0.37730000000000002</v>
      </c>
      <c r="E36">
        <v>20.89</v>
      </c>
      <c r="F36">
        <v>19.564</v>
      </c>
    </row>
    <row r="37" spans="2:6" x14ac:dyDescent="0.2">
      <c r="B37">
        <v>1.26</v>
      </c>
      <c r="C37">
        <v>0.48779</v>
      </c>
      <c r="D37">
        <v>0.38754</v>
      </c>
      <c r="E37">
        <v>20.89</v>
      </c>
      <c r="F37">
        <v>15.964</v>
      </c>
    </row>
    <row r="38" spans="2:6" x14ac:dyDescent="0.2">
      <c r="B38">
        <v>1</v>
      </c>
      <c r="C38">
        <v>0.39535999999999999</v>
      </c>
      <c r="D38">
        <v>0.39545999999999998</v>
      </c>
      <c r="E38">
        <v>20.89</v>
      </c>
      <c r="F38">
        <v>12.939</v>
      </c>
    </row>
    <row r="39" spans="2:6" x14ac:dyDescent="0.2">
      <c r="B39">
        <v>0.79400000000000004</v>
      </c>
      <c r="C39">
        <v>0.31886999999999999</v>
      </c>
      <c r="D39">
        <v>0.40156999999999998</v>
      </c>
      <c r="E39">
        <v>20.89</v>
      </c>
      <c r="F39">
        <v>10.436</v>
      </c>
    </row>
    <row r="40" spans="2:6" x14ac:dyDescent="0.2">
      <c r="B40">
        <v>0.63100000000000001</v>
      </c>
      <c r="C40">
        <v>0.25802000000000003</v>
      </c>
      <c r="D40">
        <v>0.40904000000000001</v>
      </c>
      <c r="E40">
        <v>20.88</v>
      </c>
      <c r="F40">
        <v>8.4443999999999999</v>
      </c>
    </row>
    <row r="41" spans="2:6" x14ac:dyDescent="0.2">
      <c r="B41">
        <v>0.501</v>
      </c>
      <c r="C41">
        <v>0.20801</v>
      </c>
      <c r="D41">
        <v>0.41516999999999998</v>
      </c>
      <c r="E41">
        <v>20.88</v>
      </c>
      <c r="F41">
        <v>6.8078000000000003</v>
      </c>
    </row>
    <row r="42" spans="2:6" x14ac:dyDescent="0.2">
      <c r="B42">
        <v>0.39800000000000002</v>
      </c>
      <c r="C42">
        <v>0.16542999999999999</v>
      </c>
      <c r="D42">
        <v>0.41564000000000001</v>
      </c>
      <c r="E42">
        <v>20.88</v>
      </c>
      <c r="F42">
        <v>5.4141000000000004</v>
      </c>
    </row>
    <row r="43" spans="2:6" x14ac:dyDescent="0.2">
      <c r="B43">
        <v>0.317</v>
      </c>
      <c r="C43">
        <v>0.13349</v>
      </c>
      <c r="D43">
        <v>0.42126999999999998</v>
      </c>
      <c r="E43">
        <v>20.88</v>
      </c>
      <c r="F43">
        <v>4.3688000000000002</v>
      </c>
    </row>
    <row r="44" spans="2:6" x14ac:dyDescent="0.2">
      <c r="B44">
        <v>0.252</v>
      </c>
      <c r="C44">
        <v>0.10604</v>
      </c>
      <c r="D44">
        <v>0.42124</v>
      </c>
      <c r="E44">
        <v>20.88</v>
      </c>
      <c r="F44">
        <v>3.4702999999999999</v>
      </c>
    </row>
    <row r="45" spans="2:6" x14ac:dyDescent="0.2">
      <c r="B45">
        <v>0.2</v>
      </c>
      <c r="C45">
        <v>8.5125000000000006E-2</v>
      </c>
      <c r="D45">
        <v>0.42605999999999999</v>
      </c>
      <c r="E45">
        <v>20.88</v>
      </c>
      <c r="F45">
        <v>2.7858999999999998</v>
      </c>
    </row>
    <row r="46" spans="2:6" x14ac:dyDescent="0.2">
      <c r="B46">
        <v>0.159</v>
      </c>
      <c r="C46">
        <v>7.0223999999999995E-2</v>
      </c>
      <c r="D46">
        <v>0.44123000000000001</v>
      </c>
      <c r="E46">
        <v>20.88</v>
      </c>
      <c r="F46">
        <v>2.2982999999999998</v>
      </c>
    </row>
    <row r="47" spans="2:6" x14ac:dyDescent="0.2">
      <c r="B47">
        <v>0.126</v>
      </c>
      <c r="C47">
        <v>5.4033999999999999E-2</v>
      </c>
      <c r="D47">
        <v>0.42897000000000002</v>
      </c>
      <c r="E47">
        <v>20.88</v>
      </c>
      <c r="F47">
        <v>1.7684</v>
      </c>
    </row>
    <row r="48" spans="2:6" x14ac:dyDescent="0.2">
      <c r="B48">
        <v>0.10100000000000001</v>
      </c>
      <c r="C48">
        <v>4.4899000000000001E-2</v>
      </c>
      <c r="D48">
        <v>0.44644</v>
      </c>
      <c r="E48">
        <v>20.88</v>
      </c>
      <c r="F48">
        <v>1.4694</v>
      </c>
    </row>
    <row r="49" spans="2:6" x14ac:dyDescent="0.2">
      <c r="B49">
        <v>7.9699999999999993E-2</v>
      </c>
      <c r="C49">
        <v>3.6457999999999997E-2</v>
      </c>
      <c r="D49">
        <v>0.45732</v>
      </c>
      <c r="E49">
        <v>20.88</v>
      </c>
      <c r="F49">
        <v>1.1932</v>
      </c>
    </row>
    <row r="50" spans="2:6" x14ac:dyDescent="0.2">
      <c r="B50">
        <v>6.3200000000000006E-2</v>
      </c>
      <c r="C50">
        <v>2.7428000000000001E-2</v>
      </c>
      <c r="D50">
        <v>0.43407000000000001</v>
      </c>
      <c r="E50">
        <v>20.88</v>
      </c>
      <c r="F50">
        <v>0.89766999999999997</v>
      </c>
    </row>
    <row r="51" spans="2:6" x14ac:dyDescent="0.2">
      <c r="B51">
        <v>5.0099999999999999E-2</v>
      </c>
      <c r="C51">
        <v>2.1326000000000001E-2</v>
      </c>
      <c r="D51">
        <v>0.42524000000000001</v>
      </c>
      <c r="E51">
        <v>20.88</v>
      </c>
      <c r="F51">
        <v>0.69794</v>
      </c>
    </row>
    <row r="52" spans="2:6" x14ac:dyDescent="0.2">
      <c r="B52">
        <v>3.9800000000000002E-2</v>
      </c>
      <c r="C52">
        <v>1.8863000000000001E-2</v>
      </c>
      <c r="D52">
        <v>0.47367999999999999</v>
      </c>
      <c r="E52">
        <v>20.88</v>
      </c>
      <c r="F52">
        <v>0.61733000000000005</v>
      </c>
    </row>
    <row r="53" spans="2:6" x14ac:dyDescent="0.2">
      <c r="B53">
        <v>3.1600000000000003E-2</v>
      </c>
      <c r="C53">
        <v>1.6171999999999999E-2</v>
      </c>
      <c r="D53">
        <v>0.51131000000000004</v>
      </c>
      <c r="E53">
        <v>20.89</v>
      </c>
      <c r="F53">
        <v>0.52929000000000004</v>
      </c>
    </row>
    <row r="54" spans="2:6" x14ac:dyDescent="0.2">
      <c r="B54">
        <v>2.5100000000000001E-2</v>
      </c>
      <c r="C54">
        <v>1.2069E-2</v>
      </c>
      <c r="D54">
        <v>0.48024</v>
      </c>
      <c r="E54">
        <v>20.89</v>
      </c>
      <c r="F54">
        <v>0.39499000000000001</v>
      </c>
    </row>
    <row r="55" spans="2:6" x14ac:dyDescent="0.2">
      <c r="B55">
        <v>0.02</v>
      </c>
      <c r="C55">
        <v>8.6201999999999997E-3</v>
      </c>
      <c r="D55">
        <v>0.43103000000000002</v>
      </c>
      <c r="E55">
        <v>20.89</v>
      </c>
      <c r="F55">
        <v>0.28211999999999998</v>
      </c>
    </row>
    <row r="56" spans="2:6" x14ac:dyDescent="0.2">
      <c r="B56">
        <v>1.5900000000000001E-2</v>
      </c>
      <c r="C56">
        <v>7.1244999999999998E-3</v>
      </c>
      <c r="D56">
        <v>0.44929000000000002</v>
      </c>
      <c r="E56">
        <v>20.9</v>
      </c>
      <c r="F56">
        <v>0.23316999999999999</v>
      </c>
    </row>
    <row r="57" spans="2:6" x14ac:dyDescent="0.2">
      <c r="B57">
        <v>1.26E-2</v>
      </c>
      <c r="C57">
        <v>6.5564999999999998E-3</v>
      </c>
      <c r="D57">
        <v>0.52044999999999997</v>
      </c>
      <c r="E57">
        <v>20.9</v>
      </c>
      <c r="F57">
        <v>0.21457999999999999</v>
      </c>
    </row>
    <row r="58" spans="2:6" x14ac:dyDescent="0.2">
      <c r="B58">
        <v>0.01</v>
      </c>
      <c r="C58">
        <v>3.9839999999999997E-3</v>
      </c>
      <c r="D58">
        <v>0.39822999999999997</v>
      </c>
      <c r="E58">
        <v>20.94</v>
      </c>
      <c r="F58">
        <v>0.13039000000000001</v>
      </c>
    </row>
    <row r="62" spans="2:6" x14ac:dyDescent="0.2">
      <c r="B62" s="3" t="s">
        <v>28</v>
      </c>
    </row>
    <row r="63" spans="2:6" x14ac:dyDescent="0.2">
      <c r="B63" s="3" t="s">
        <v>54</v>
      </c>
    </row>
  </sheetData>
  <mergeCells count="1">
    <mergeCell ref="B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640E9-32EB-D543-A550-E667FE5ACA66}">
  <dimension ref="B2:AS63"/>
  <sheetViews>
    <sheetView topLeftCell="AH1" workbookViewId="0">
      <selection activeCell="AS4" sqref="AS4:AS28"/>
    </sheetView>
  </sheetViews>
  <sheetFormatPr baseColWidth="10" defaultRowHeight="16" x14ac:dyDescent="0.2"/>
  <cols>
    <col min="2" max="2" width="26.33203125" customWidth="1"/>
    <col min="9" max="9" width="16.5" bestFit="1" customWidth="1"/>
    <col min="16" max="16" width="11.6640625" bestFit="1" customWidth="1"/>
    <col min="17" max="17" width="13.1640625" bestFit="1" customWidth="1"/>
    <col min="25" max="25" width="11.1640625" bestFit="1" customWidth="1"/>
    <col min="28" max="28" width="16.33203125" customWidth="1"/>
    <col min="31" max="31" width="19.33203125" customWidth="1"/>
    <col min="32" max="32" width="23" bestFit="1" customWidth="1"/>
    <col min="41" max="41" width="23.1640625" bestFit="1" customWidth="1"/>
    <col min="42" max="42" width="33.33203125" bestFit="1" customWidth="1"/>
    <col min="43" max="43" width="16" bestFit="1" customWidth="1"/>
    <col min="44" max="44" width="21.6640625" bestFit="1" customWidth="1"/>
  </cols>
  <sheetData>
    <row r="2" spans="2:45" x14ac:dyDescent="0.2">
      <c r="B2" s="8" t="s">
        <v>12</v>
      </c>
      <c r="C2" s="8"/>
      <c r="D2" s="8"/>
      <c r="E2" s="8"/>
      <c r="F2" s="8"/>
      <c r="G2" s="8"/>
    </row>
    <row r="3" spans="2:45" x14ac:dyDescent="0.2"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I3" t="s">
        <v>19</v>
      </c>
      <c r="J3" t="s">
        <v>13</v>
      </c>
      <c r="K3" t="s">
        <v>14</v>
      </c>
      <c r="L3" t="s">
        <v>15</v>
      </c>
      <c r="M3" t="s">
        <v>16</v>
      </c>
      <c r="N3" t="s">
        <v>20</v>
      </c>
      <c r="O3" t="s">
        <v>17</v>
      </c>
      <c r="P3" t="s">
        <v>21</v>
      </c>
      <c r="Q3" t="s">
        <v>27</v>
      </c>
      <c r="R3" t="s">
        <v>18</v>
      </c>
      <c r="S3" t="s">
        <v>22</v>
      </c>
      <c r="T3" t="s">
        <v>23</v>
      </c>
      <c r="U3" t="s">
        <v>24</v>
      </c>
      <c r="V3" s="4" t="s">
        <v>25</v>
      </c>
      <c r="W3" s="4" t="s">
        <v>26</v>
      </c>
      <c r="X3" s="4" t="s">
        <v>38</v>
      </c>
      <c r="Y3" s="4" t="s">
        <v>39</v>
      </c>
      <c r="Z3" t="s">
        <v>32</v>
      </c>
      <c r="AA3" t="s">
        <v>33</v>
      </c>
      <c r="AB3" t="s">
        <v>31</v>
      </c>
      <c r="AC3" t="s">
        <v>29</v>
      </c>
      <c r="AD3" t="s">
        <v>30</v>
      </c>
      <c r="AE3" s="4" t="s">
        <v>34</v>
      </c>
      <c r="AF3" t="s">
        <v>35</v>
      </c>
      <c r="AG3" s="4" t="s">
        <v>37</v>
      </c>
      <c r="AH3" s="4" t="s">
        <v>36</v>
      </c>
      <c r="AI3" s="4" t="s">
        <v>40</v>
      </c>
      <c r="AJ3" s="4" t="s">
        <v>41</v>
      </c>
      <c r="AK3" s="4" t="s">
        <v>42</v>
      </c>
      <c r="AL3" t="s">
        <v>45</v>
      </c>
      <c r="AM3" s="4" t="s">
        <v>43</v>
      </c>
      <c r="AN3" s="4" t="s">
        <v>44</v>
      </c>
      <c r="AO3" s="4" t="s">
        <v>57</v>
      </c>
      <c r="AP3" s="4" t="s">
        <v>58</v>
      </c>
      <c r="AQ3" s="4" t="s">
        <v>59</v>
      </c>
      <c r="AR3" s="4" t="s">
        <v>60</v>
      </c>
      <c r="AS3" s="4" t="s">
        <v>61</v>
      </c>
    </row>
    <row r="4" spans="2:45" x14ac:dyDescent="0.2">
      <c r="I4">
        <v>100</v>
      </c>
      <c r="J4">
        <v>105</v>
      </c>
      <c r="K4">
        <v>10</v>
      </c>
      <c r="L4">
        <v>100</v>
      </c>
      <c r="M4">
        <v>45.5</v>
      </c>
      <c r="N4">
        <v>4.7644520000000004</v>
      </c>
      <c r="O4">
        <v>41.332999999999998</v>
      </c>
      <c r="P4">
        <v>4.5460609999999999</v>
      </c>
      <c r="Q4">
        <f>39/(250/1000)</f>
        <v>156</v>
      </c>
      <c r="R4">
        <f>M4/0.2567</f>
        <v>177.24970783015195</v>
      </c>
      <c r="S4">
        <f t="shared" ref="S4:U4" si="0">N4/0.2567</f>
        <v>18.560389559797432</v>
      </c>
      <c r="T4">
        <f t="shared" si="0"/>
        <v>161.01675107128943</v>
      </c>
      <c r="U4">
        <f t="shared" si="0"/>
        <v>17.70962602259447</v>
      </c>
      <c r="V4">
        <f>R4/$J$4</f>
        <v>1.6880924555252566</v>
      </c>
      <c r="W4">
        <f>S4/$J$4</f>
        <v>0.17676561485521364</v>
      </c>
      <c r="X4">
        <f>T4/$J$4</f>
        <v>1.5334928673456136</v>
      </c>
      <c r="Y4">
        <f>U4/$J$4</f>
        <v>0.16866310497709019</v>
      </c>
      <c r="Z4">
        <f>K4/($I$4/1000*$J$4/1000)/60</f>
        <v>15.873015873015872</v>
      </c>
      <c r="AA4">
        <f>L4/($I$4/1000*$J$4/1000)/60</f>
        <v>158.73015873015871</v>
      </c>
      <c r="AB4">
        <f>Z4/($I$4/1000)</f>
        <v>158.73015873015871</v>
      </c>
      <c r="AC4">
        <f>2.23/(1+(0.216*AB4)^0.72)</f>
        <v>0.16226102277626539</v>
      </c>
      <c r="AD4">
        <v>0.28999999999999998</v>
      </c>
      <c r="AE4">
        <f>AC4/$AD$4</f>
        <v>0.55952076819401864</v>
      </c>
      <c r="AF4">
        <v>1.63</v>
      </c>
      <c r="AG4">
        <f>AC4*(Z4/1000)/($AF$4/1000)</f>
        <v>1.5801053926990494</v>
      </c>
      <c r="AH4">
        <f>$AD$4*(AA4/1000)/($AF$4/1000)</f>
        <v>28.240334988801241</v>
      </c>
      <c r="AI4">
        <f>K4/L4</f>
        <v>0.1</v>
      </c>
      <c r="AJ4">
        <f>1000*(Z4/1000)*($I$4/10^6)/AC4</f>
        <v>9.7823960439978735E-3</v>
      </c>
      <c r="AK4">
        <f>1000*(AA4/1000)*($I$4/10^6)/$AD$4</f>
        <v>5.4734537493158181E-2</v>
      </c>
      <c r="AL4">
        <v>0.216</v>
      </c>
      <c r="AM4">
        <f>$AL$4*AB4</f>
        <v>34.285714285714278</v>
      </c>
      <c r="AN4">
        <f>AM4/AJ4</f>
        <v>3504.8380919673314</v>
      </c>
      <c r="AO4">
        <f>AH4^(-0.6)*AI4^0.57*AM4^0.45</f>
        <v>0.17794223222313268</v>
      </c>
      <c r="AP4">
        <f>AH4^(-0.6)*AI4^0.57</f>
        <v>3.6264199361103477E-2</v>
      </c>
      <c r="AQ4">
        <f>(AI4*AM4/AH4)^0.6</f>
        <v>0.28219285576859882</v>
      </c>
      <c r="AR4">
        <f>(AI4/AH4)^(0.6)*AM4^(0.45)</f>
        <v>0.16606535351565543</v>
      </c>
      <c r="AS4">
        <f>AI4/AH4</f>
        <v>3.5410344827586215E-3</v>
      </c>
    </row>
    <row r="5" spans="2:45" x14ac:dyDescent="0.2">
      <c r="B5" t="s">
        <v>6</v>
      </c>
      <c r="C5" t="s">
        <v>7</v>
      </c>
      <c r="D5" t="s">
        <v>8</v>
      </c>
      <c r="E5" t="s">
        <v>9</v>
      </c>
      <c r="F5" t="s">
        <v>10</v>
      </c>
      <c r="K5">
        <v>10</v>
      </c>
      <c r="L5">
        <v>10</v>
      </c>
      <c r="R5">
        <f t="shared" ref="R5:R28" si="1">M5/0.2567</f>
        <v>0</v>
      </c>
      <c r="S5">
        <f t="shared" ref="S5:S28" si="2">N5/0.2567</f>
        <v>0</v>
      </c>
      <c r="T5">
        <f t="shared" ref="T5:T28" si="3">O5/0.2567</f>
        <v>0</v>
      </c>
      <c r="U5">
        <f t="shared" ref="U5:U28" si="4">P5/0.2567</f>
        <v>0</v>
      </c>
      <c r="V5">
        <f t="shared" ref="V5:Y28" si="5">R5/$J$4</f>
        <v>0</v>
      </c>
      <c r="W5">
        <f t="shared" si="5"/>
        <v>0</v>
      </c>
      <c r="X5">
        <f t="shared" si="5"/>
        <v>0</v>
      </c>
      <c r="Y5">
        <f t="shared" si="5"/>
        <v>0</v>
      </c>
      <c r="Z5">
        <f t="shared" ref="Z5:Z28" si="6">K5/($I$4/1000*$J$4/1000)/60</f>
        <v>15.873015873015872</v>
      </c>
      <c r="AA5">
        <f t="shared" ref="AA5:AA28" si="7">L5/($I$4/1000*$J$4/1000)/60</f>
        <v>15.873015873015872</v>
      </c>
      <c r="AB5">
        <f t="shared" ref="AB5:AB28" si="8">Z5/($I$4/1000)</f>
        <v>158.73015873015871</v>
      </c>
      <c r="AC5">
        <f t="shared" ref="AC5:AC28" si="9">2.23/(1+(0.216*AB5)^0.72)</f>
        <v>0.16226102277626539</v>
      </c>
      <c r="AE5">
        <f t="shared" ref="AE5:AE28" si="10">AC5/$AD$4</f>
        <v>0.55952076819401864</v>
      </c>
      <c r="AG5">
        <f t="shared" ref="AG5:AG28" si="11">AC5*(Z5/1000)/($AF$4/1000)</f>
        <v>1.5801053926990494</v>
      </c>
      <c r="AH5">
        <f t="shared" ref="AH5:AH28" si="12">$AD$4*(AA5/1000)/($AF$4/1000)</f>
        <v>2.8240334988801248</v>
      </c>
      <c r="AI5">
        <f t="shared" ref="AI5:AI28" si="13">K5/L5</f>
        <v>1</v>
      </c>
      <c r="AJ5">
        <f t="shared" ref="AJ5:AJ28" si="14">1000*(Z5/1000)*($I$4/10^6)/AC5</f>
        <v>9.7823960439978735E-3</v>
      </c>
      <c r="AK5">
        <f t="shared" ref="AK5:AK28" si="15">1000*(AA5/1000)*($I$4/10^6)/$AD$4</f>
        <v>5.4734537493158182E-3</v>
      </c>
      <c r="AM5">
        <f t="shared" ref="AM5:AM28" si="16">$AL$4*AB5</f>
        <v>34.285714285714278</v>
      </c>
      <c r="AN5">
        <f t="shared" ref="AN5:AN28" si="17">AM5/AJ5</f>
        <v>3504.8380919673314</v>
      </c>
      <c r="AO5">
        <f t="shared" ref="AO5:AO28" si="18">AH5^(-0.6)*AI5^0.57*AM5^0.45</f>
        <v>2.6319584829061045</v>
      </c>
      <c r="AP5">
        <f t="shared" ref="AP5:AP28" si="19">AH5^(-0.6)*AI5^0.57</f>
        <v>0.53638681465212257</v>
      </c>
      <c r="AQ5">
        <f t="shared" ref="AQ5:AQ28" si="20">(AI5*AM5/AH5)^0.6</f>
        <v>4.4724553606881292</v>
      </c>
      <c r="AR5">
        <f t="shared" ref="AR5:AR28" si="21">(AI5/AH5)^(0.6)*AM5^(0.45)</f>
        <v>2.6319584829061045</v>
      </c>
      <c r="AS5">
        <f t="shared" ref="AS5:AS28" si="22">AI5/AH5</f>
        <v>0.35410344827586204</v>
      </c>
    </row>
    <row r="6" spans="2:45" x14ac:dyDescent="0.2">
      <c r="B6" s="5" t="s">
        <v>48</v>
      </c>
      <c r="C6" t="s">
        <v>49</v>
      </c>
      <c r="D6" t="s">
        <v>50</v>
      </c>
      <c r="E6" t="s">
        <v>51</v>
      </c>
      <c r="F6" t="s">
        <v>52</v>
      </c>
      <c r="K6">
        <v>10</v>
      </c>
      <c r="L6">
        <v>20</v>
      </c>
      <c r="R6">
        <f t="shared" si="1"/>
        <v>0</v>
      </c>
      <c r="S6">
        <f t="shared" si="2"/>
        <v>0</v>
      </c>
      <c r="T6">
        <f t="shared" si="3"/>
        <v>0</v>
      </c>
      <c r="U6">
        <f t="shared" si="4"/>
        <v>0</v>
      </c>
      <c r="V6">
        <f t="shared" si="5"/>
        <v>0</v>
      </c>
      <c r="W6">
        <f t="shared" si="5"/>
        <v>0</v>
      </c>
      <c r="X6">
        <f t="shared" si="5"/>
        <v>0</v>
      </c>
      <c r="Y6">
        <f t="shared" si="5"/>
        <v>0</v>
      </c>
      <c r="Z6">
        <f t="shared" si="6"/>
        <v>15.873015873015872</v>
      </c>
      <c r="AA6">
        <f t="shared" si="7"/>
        <v>31.746031746031743</v>
      </c>
      <c r="AB6">
        <f t="shared" si="8"/>
        <v>158.73015873015871</v>
      </c>
      <c r="AC6">
        <f t="shared" si="9"/>
        <v>0.16226102277626539</v>
      </c>
      <c r="AE6">
        <f t="shared" si="10"/>
        <v>0.55952076819401864</v>
      </c>
      <c r="AG6">
        <f t="shared" si="11"/>
        <v>1.5801053926990494</v>
      </c>
      <c r="AH6">
        <f t="shared" si="12"/>
        <v>5.6480669977602496</v>
      </c>
      <c r="AI6">
        <f t="shared" si="13"/>
        <v>0.5</v>
      </c>
      <c r="AJ6">
        <f t="shared" si="14"/>
        <v>9.7823960439978735E-3</v>
      </c>
      <c r="AK6">
        <f t="shared" si="15"/>
        <v>1.0946907498631636E-2</v>
      </c>
      <c r="AM6">
        <f t="shared" si="16"/>
        <v>34.285714285714278</v>
      </c>
      <c r="AN6">
        <f t="shared" si="17"/>
        <v>3504.8380919673314</v>
      </c>
      <c r="AO6">
        <f t="shared" si="18"/>
        <v>1.1696985173326802</v>
      </c>
      <c r="AP6">
        <f t="shared" si="19"/>
        <v>0.23838174723889441</v>
      </c>
      <c r="AQ6">
        <f t="shared" si="20"/>
        <v>1.9467492667819108</v>
      </c>
      <c r="AR6">
        <f t="shared" si="21"/>
        <v>1.1456264699329608</v>
      </c>
      <c r="AS6">
        <f t="shared" si="22"/>
        <v>8.8525862068965511E-2</v>
      </c>
    </row>
    <row r="7" spans="2:45" x14ac:dyDescent="0.2">
      <c r="B7">
        <v>1000</v>
      </c>
      <c r="C7">
        <v>46.234000000000002</v>
      </c>
      <c r="D7">
        <v>4.6211000000000002E-2</v>
      </c>
      <c r="E7">
        <v>20.82</v>
      </c>
      <c r="F7">
        <v>1513.1</v>
      </c>
      <c r="K7">
        <v>10</v>
      </c>
      <c r="L7">
        <v>30</v>
      </c>
      <c r="M7">
        <v>81.313999999999993</v>
      </c>
      <c r="N7">
        <v>2.0015999999999998</v>
      </c>
      <c r="O7">
        <v>68.4298</v>
      </c>
      <c r="P7">
        <v>0.24729999999999999</v>
      </c>
      <c r="Q7">
        <f>23/(250/500)</f>
        <v>46</v>
      </c>
      <c r="R7">
        <f t="shared" si="1"/>
        <v>316.76665368134007</v>
      </c>
      <c r="S7">
        <f t="shared" si="2"/>
        <v>7.797428905336969</v>
      </c>
      <c r="T7">
        <f t="shared" si="3"/>
        <v>266.5749902610051</v>
      </c>
      <c r="U7">
        <f t="shared" si="4"/>
        <v>0.96338137904168297</v>
      </c>
      <c r="V7">
        <f t="shared" si="5"/>
        <v>3.0168252731556198</v>
      </c>
      <c r="W7">
        <f t="shared" si="5"/>
        <v>7.426122766987589E-2</v>
      </c>
      <c r="X7">
        <f t="shared" si="5"/>
        <v>2.5388094310571914</v>
      </c>
      <c r="Y7">
        <f t="shared" si="5"/>
        <v>9.1750607527779325E-3</v>
      </c>
      <c r="Z7">
        <f t="shared" si="6"/>
        <v>15.873015873015872</v>
      </c>
      <c r="AA7">
        <f t="shared" si="7"/>
        <v>47.619047619047613</v>
      </c>
      <c r="AB7">
        <f t="shared" si="8"/>
        <v>158.73015873015871</v>
      </c>
      <c r="AC7">
        <f t="shared" si="9"/>
        <v>0.16226102277626539</v>
      </c>
      <c r="AE7">
        <f t="shared" si="10"/>
        <v>0.55952076819401864</v>
      </c>
      <c r="AG7">
        <f t="shared" si="11"/>
        <v>1.5801053926990494</v>
      </c>
      <c r="AH7">
        <f t="shared" si="12"/>
        <v>8.4721004966403726</v>
      </c>
      <c r="AI7">
        <f t="shared" si="13"/>
        <v>0.33333333333333331</v>
      </c>
      <c r="AJ7">
        <f t="shared" si="14"/>
        <v>9.7823960439978735E-3</v>
      </c>
      <c r="AK7">
        <f t="shared" si="15"/>
        <v>1.6420361247947456E-2</v>
      </c>
      <c r="AM7">
        <f t="shared" si="16"/>
        <v>34.285714285714278</v>
      </c>
      <c r="AN7">
        <f t="shared" si="17"/>
        <v>3504.8380919673314</v>
      </c>
      <c r="AO7">
        <f t="shared" si="18"/>
        <v>0.72785884896047226</v>
      </c>
      <c r="AP7">
        <f t="shared" si="19"/>
        <v>0.14833588449282398</v>
      </c>
      <c r="AQ7">
        <f t="shared" si="20"/>
        <v>1.1967419337139018</v>
      </c>
      <c r="AR7">
        <f t="shared" si="21"/>
        <v>0.70426082101871146</v>
      </c>
      <c r="AS7">
        <f t="shared" si="22"/>
        <v>3.9344827586206901E-2</v>
      </c>
    </row>
    <row r="8" spans="2:45" x14ac:dyDescent="0.2">
      <c r="B8">
        <v>791</v>
      </c>
      <c r="C8">
        <v>43.143999999999998</v>
      </c>
      <c r="D8">
        <v>5.4552999999999997E-2</v>
      </c>
      <c r="E8">
        <v>20.82</v>
      </c>
      <c r="F8">
        <v>1412</v>
      </c>
      <c r="K8">
        <v>10</v>
      </c>
      <c r="L8">
        <v>40</v>
      </c>
      <c r="M8">
        <v>66.166700000000006</v>
      </c>
      <c r="N8">
        <v>14.878399999999999</v>
      </c>
      <c r="O8">
        <v>59.833300000000001</v>
      </c>
      <c r="P8">
        <v>5.4924189999999999</v>
      </c>
      <c r="Q8">
        <f>31/(250/500)</f>
        <v>62</v>
      </c>
      <c r="R8">
        <f t="shared" si="1"/>
        <v>257.75886248539155</v>
      </c>
      <c r="S8">
        <f t="shared" si="2"/>
        <v>57.960264900662253</v>
      </c>
      <c r="T8">
        <f t="shared" si="3"/>
        <v>233.08648227502923</v>
      </c>
      <c r="U8">
        <f t="shared" si="4"/>
        <v>21.396256330346709</v>
      </c>
      <c r="V8">
        <f t="shared" si="5"/>
        <v>2.4548463093846813</v>
      </c>
      <c r="W8">
        <f t="shared" si="5"/>
        <v>0.55200252286344997</v>
      </c>
      <c r="X8">
        <f t="shared" si="5"/>
        <v>2.2198712597621832</v>
      </c>
      <c r="Y8">
        <f t="shared" si="5"/>
        <v>0.2037738698128258</v>
      </c>
      <c r="Z8">
        <f t="shared" si="6"/>
        <v>15.873015873015872</v>
      </c>
      <c r="AA8">
        <f t="shared" si="7"/>
        <v>63.492063492063487</v>
      </c>
      <c r="AB8">
        <f t="shared" si="8"/>
        <v>158.73015873015871</v>
      </c>
      <c r="AC8">
        <f t="shared" si="9"/>
        <v>0.16226102277626539</v>
      </c>
      <c r="AE8">
        <f t="shared" si="10"/>
        <v>0.55952076819401864</v>
      </c>
      <c r="AG8">
        <f t="shared" si="11"/>
        <v>1.5801053926990494</v>
      </c>
      <c r="AH8">
        <f t="shared" si="12"/>
        <v>11.296133995520499</v>
      </c>
      <c r="AI8">
        <f t="shared" si="13"/>
        <v>0.25</v>
      </c>
      <c r="AJ8">
        <f t="shared" si="14"/>
        <v>9.7823960439978735E-3</v>
      </c>
      <c r="AK8">
        <f t="shared" si="15"/>
        <v>2.1893814997263273E-2</v>
      </c>
      <c r="AM8">
        <f t="shared" si="16"/>
        <v>34.285714285714278</v>
      </c>
      <c r="AN8">
        <f t="shared" si="17"/>
        <v>3504.8380919673314</v>
      </c>
      <c r="AO8">
        <f t="shared" si="18"/>
        <v>0.51983898315127075</v>
      </c>
      <c r="AP8">
        <f t="shared" si="19"/>
        <v>0.10594193567849527</v>
      </c>
      <c r="AQ8">
        <f t="shared" si="20"/>
        <v>0.8473718353966545</v>
      </c>
      <c r="AR8">
        <f t="shared" si="21"/>
        <v>0.49866288436354467</v>
      </c>
      <c r="AS8">
        <f t="shared" si="22"/>
        <v>2.2131465517241378E-2</v>
      </c>
    </row>
    <row r="9" spans="2:45" x14ac:dyDescent="0.2">
      <c r="B9">
        <v>628</v>
      </c>
      <c r="C9">
        <v>40.201000000000001</v>
      </c>
      <c r="D9">
        <v>6.3982999999999998E-2</v>
      </c>
      <c r="E9">
        <v>20.82</v>
      </c>
      <c r="F9">
        <v>1315.7</v>
      </c>
      <c r="K9">
        <v>10</v>
      </c>
      <c r="L9">
        <v>50</v>
      </c>
      <c r="M9">
        <v>49.514600000000002</v>
      </c>
      <c r="N9">
        <v>5.7203999999999997</v>
      </c>
      <c r="O9">
        <v>45.116700000000002</v>
      </c>
      <c r="P9">
        <v>4.5273000000000003</v>
      </c>
      <c r="Q9">
        <f>55/(250/500)</f>
        <v>110</v>
      </c>
      <c r="R9">
        <f t="shared" si="1"/>
        <v>192.88897545773278</v>
      </c>
      <c r="S9">
        <f t="shared" si="2"/>
        <v>22.284378652123102</v>
      </c>
      <c r="T9">
        <f t="shared" si="3"/>
        <v>175.75652512660696</v>
      </c>
      <c r="U9">
        <f t="shared" si="4"/>
        <v>17.636540708998833</v>
      </c>
      <c r="V9">
        <f t="shared" si="5"/>
        <v>1.8370378615022169</v>
      </c>
      <c r="W9">
        <f t="shared" si="5"/>
        <v>0.21223217763926763</v>
      </c>
      <c r="X9">
        <f t="shared" si="5"/>
        <v>1.6738716678724472</v>
      </c>
      <c r="Y9">
        <f t="shared" si="5"/>
        <v>0.16796705437141746</v>
      </c>
      <c r="Z9">
        <f t="shared" si="6"/>
        <v>15.873015873015872</v>
      </c>
      <c r="AA9">
        <f t="shared" si="7"/>
        <v>79.365079365079353</v>
      </c>
      <c r="AB9">
        <f t="shared" si="8"/>
        <v>158.73015873015871</v>
      </c>
      <c r="AC9">
        <f t="shared" si="9"/>
        <v>0.16226102277626539</v>
      </c>
      <c r="AE9">
        <f t="shared" si="10"/>
        <v>0.55952076819401864</v>
      </c>
      <c r="AG9">
        <f t="shared" si="11"/>
        <v>1.5801053926990494</v>
      </c>
      <c r="AH9">
        <f t="shared" si="12"/>
        <v>14.12016749440062</v>
      </c>
      <c r="AI9">
        <f t="shared" si="13"/>
        <v>0.2</v>
      </c>
      <c r="AJ9">
        <f t="shared" si="14"/>
        <v>9.7823960439978735E-3</v>
      </c>
      <c r="AK9">
        <f t="shared" si="15"/>
        <v>2.736726874657909E-2</v>
      </c>
      <c r="AM9">
        <f t="shared" si="16"/>
        <v>34.285714285714278</v>
      </c>
      <c r="AN9">
        <f t="shared" si="17"/>
        <v>3504.8380919673314</v>
      </c>
      <c r="AO9">
        <f t="shared" si="18"/>
        <v>0.40039083629420363</v>
      </c>
      <c r="AP9">
        <f t="shared" si="19"/>
        <v>8.159869036331191E-2</v>
      </c>
      <c r="AQ9">
        <f t="shared" si="20"/>
        <v>0.64830893842660997</v>
      </c>
      <c r="AR9">
        <f t="shared" si="21"/>
        <v>0.38151799681086901</v>
      </c>
      <c r="AS9">
        <f t="shared" si="22"/>
        <v>1.4164137931034486E-2</v>
      </c>
    </row>
    <row r="10" spans="2:45" x14ac:dyDescent="0.2">
      <c r="B10">
        <v>499</v>
      </c>
      <c r="C10">
        <v>37.427</v>
      </c>
      <c r="D10">
        <v>7.4973999999999999E-2</v>
      </c>
      <c r="E10">
        <v>20.82</v>
      </c>
      <c r="F10">
        <v>1224.9000000000001</v>
      </c>
      <c r="K10">
        <v>10</v>
      </c>
      <c r="L10">
        <v>60</v>
      </c>
      <c r="M10">
        <v>49.739600000000003</v>
      </c>
      <c r="N10">
        <v>2.0274999999999999</v>
      </c>
      <c r="O10">
        <v>45.4</v>
      </c>
      <c r="P10">
        <v>5.0160999999999998</v>
      </c>
      <c r="Q10">
        <f>80/(250/500)</f>
        <v>160</v>
      </c>
      <c r="R10">
        <f t="shared" si="1"/>
        <v>193.76548500194781</v>
      </c>
      <c r="S10">
        <f t="shared" si="2"/>
        <v>7.8983248928710559</v>
      </c>
      <c r="T10">
        <f t="shared" si="3"/>
        <v>176.86014803272303</v>
      </c>
      <c r="U10">
        <f t="shared" si="4"/>
        <v>19.54070899883132</v>
      </c>
      <c r="V10">
        <f t="shared" si="5"/>
        <v>1.8453855714471219</v>
      </c>
      <c r="W10">
        <f t="shared" si="5"/>
        <v>7.5222141836867193E-2</v>
      </c>
      <c r="X10">
        <f t="shared" si="5"/>
        <v>1.6843823622164098</v>
      </c>
      <c r="Y10">
        <f t="shared" si="5"/>
        <v>0.18610199046506018</v>
      </c>
      <c r="Z10">
        <f t="shared" si="6"/>
        <v>15.873015873015872</v>
      </c>
      <c r="AA10">
        <f t="shared" si="7"/>
        <v>95.238095238095227</v>
      </c>
      <c r="AB10">
        <f t="shared" si="8"/>
        <v>158.73015873015871</v>
      </c>
      <c r="AC10">
        <f t="shared" si="9"/>
        <v>0.16226102277626539</v>
      </c>
      <c r="AE10">
        <f t="shared" si="10"/>
        <v>0.55952076819401864</v>
      </c>
      <c r="AG10">
        <f t="shared" si="11"/>
        <v>1.5801053926990494</v>
      </c>
      <c r="AH10">
        <f t="shared" si="12"/>
        <v>16.944200993280745</v>
      </c>
      <c r="AI10">
        <f t="shared" si="13"/>
        <v>0.16666666666666666</v>
      </c>
      <c r="AJ10">
        <f t="shared" si="14"/>
        <v>9.7823960439978735E-3</v>
      </c>
      <c r="AK10">
        <f t="shared" si="15"/>
        <v>3.2840722495894911E-2</v>
      </c>
      <c r="AM10">
        <f t="shared" si="16"/>
        <v>34.285714285714278</v>
      </c>
      <c r="AN10">
        <f t="shared" si="17"/>
        <v>3504.8380919673314</v>
      </c>
      <c r="AO10">
        <f t="shared" si="18"/>
        <v>0.32347600541041993</v>
      </c>
      <c r="AP10">
        <f t="shared" si="19"/>
        <v>6.5923632642908167E-2</v>
      </c>
      <c r="AQ10">
        <f t="shared" si="20"/>
        <v>0.52091218225736502</v>
      </c>
      <c r="AR10">
        <f t="shared" si="21"/>
        <v>0.30654732722261502</v>
      </c>
      <c r="AS10">
        <f t="shared" si="22"/>
        <v>9.8362068965517253E-3</v>
      </c>
    </row>
    <row r="11" spans="2:45" x14ac:dyDescent="0.2">
      <c r="B11">
        <v>397</v>
      </c>
      <c r="C11">
        <v>34.814999999999998</v>
      </c>
      <c r="D11">
        <v>8.7778999999999996E-2</v>
      </c>
      <c r="E11">
        <v>20.82</v>
      </c>
      <c r="F11">
        <v>1139.4000000000001</v>
      </c>
      <c r="K11">
        <v>10</v>
      </c>
      <c r="L11">
        <v>70</v>
      </c>
      <c r="M11">
        <v>47.666670000000003</v>
      </c>
      <c r="N11">
        <v>11.67333</v>
      </c>
      <c r="O11">
        <v>47.5</v>
      </c>
      <c r="P11">
        <v>8.0684570000000004</v>
      </c>
      <c r="Q11">
        <f>56/(250/500)</f>
        <v>112</v>
      </c>
      <c r="R11">
        <f t="shared" si="1"/>
        <v>185.69018309310482</v>
      </c>
      <c r="S11">
        <f t="shared" si="2"/>
        <v>45.474600701207635</v>
      </c>
      <c r="T11">
        <f t="shared" si="3"/>
        <v>185.04090377873004</v>
      </c>
      <c r="U11">
        <f t="shared" si="4"/>
        <v>31.431464744838337</v>
      </c>
      <c r="V11">
        <f t="shared" si="5"/>
        <v>1.7684779342200458</v>
      </c>
      <c r="W11">
        <f t="shared" si="5"/>
        <v>0.43309143524959653</v>
      </c>
      <c r="X11">
        <f t="shared" si="5"/>
        <v>1.7622943217021909</v>
      </c>
      <c r="Y11">
        <f t="shared" si="5"/>
        <v>0.29934728328417465</v>
      </c>
      <c r="Z11">
        <f t="shared" si="6"/>
        <v>15.873015873015872</v>
      </c>
      <c r="AA11">
        <f t="shared" si="7"/>
        <v>111.1111111111111</v>
      </c>
      <c r="AB11">
        <f t="shared" si="8"/>
        <v>158.73015873015871</v>
      </c>
      <c r="AC11">
        <f t="shared" si="9"/>
        <v>0.16226102277626539</v>
      </c>
      <c r="AE11">
        <f t="shared" si="10"/>
        <v>0.55952076819401864</v>
      </c>
      <c r="AG11">
        <f t="shared" si="11"/>
        <v>1.5801053926990494</v>
      </c>
      <c r="AH11">
        <f t="shared" si="12"/>
        <v>19.768234492160872</v>
      </c>
      <c r="AI11">
        <f t="shared" si="13"/>
        <v>0.14285714285714285</v>
      </c>
      <c r="AJ11">
        <f t="shared" si="14"/>
        <v>9.7823960439978735E-3</v>
      </c>
      <c r="AK11">
        <f t="shared" si="15"/>
        <v>3.8314176245210725E-2</v>
      </c>
      <c r="AM11">
        <f t="shared" si="16"/>
        <v>34.285714285714278</v>
      </c>
      <c r="AN11">
        <f t="shared" si="17"/>
        <v>3504.8380919673314</v>
      </c>
      <c r="AO11">
        <f t="shared" si="18"/>
        <v>0.27009362116566971</v>
      </c>
      <c r="AP11">
        <f t="shared" si="19"/>
        <v>5.5044431002933533E-2</v>
      </c>
      <c r="AQ11">
        <f t="shared" si="20"/>
        <v>0.43294065172839447</v>
      </c>
      <c r="AR11">
        <f t="shared" si="21"/>
        <v>0.25477768451916422</v>
      </c>
      <c r="AS11">
        <f t="shared" si="22"/>
        <v>7.2266009852216748E-3</v>
      </c>
    </row>
    <row r="12" spans="2:45" x14ac:dyDescent="0.2">
      <c r="B12">
        <v>315</v>
      </c>
      <c r="C12">
        <v>32.372999999999998</v>
      </c>
      <c r="D12">
        <v>0.10273</v>
      </c>
      <c r="E12">
        <v>20.82</v>
      </c>
      <c r="F12">
        <v>1059.5</v>
      </c>
      <c r="K12">
        <v>10</v>
      </c>
      <c r="L12">
        <v>80</v>
      </c>
      <c r="M12">
        <v>47.2</v>
      </c>
      <c r="N12">
        <v>4.1472879999999996</v>
      </c>
      <c r="O12">
        <v>46.8</v>
      </c>
      <c r="P12">
        <v>1.3038400000000001</v>
      </c>
      <c r="Q12">
        <f>31/(250/1000)</f>
        <v>124</v>
      </c>
      <c r="R12">
        <f t="shared" si="1"/>
        <v>183.87222438644335</v>
      </c>
      <c r="S12">
        <f t="shared" si="2"/>
        <v>16.156166731593299</v>
      </c>
      <c r="T12">
        <f t="shared" si="3"/>
        <v>182.31398519672769</v>
      </c>
      <c r="U12">
        <f t="shared" si="4"/>
        <v>5.0792364627970397</v>
      </c>
      <c r="V12">
        <f t="shared" si="5"/>
        <v>1.7511640417756509</v>
      </c>
      <c r="W12">
        <f t="shared" si="5"/>
        <v>0.15386825458660283</v>
      </c>
      <c r="X12">
        <f t="shared" si="5"/>
        <v>1.7363236685402637</v>
      </c>
      <c r="Y12">
        <f t="shared" si="5"/>
        <v>4.8373680598067043E-2</v>
      </c>
      <c r="Z12">
        <f t="shared" si="6"/>
        <v>15.873015873015872</v>
      </c>
      <c r="AA12">
        <f t="shared" si="7"/>
        <v>126.98412698412697</v>
      </c>
      <c r="AB12">
        <f t="shared" si="8"/>
        <v>158.73015873015871</v>
      </c>
      <c r="AC12">
        <f t="shared" si="9"/>
        <v>0.16226102277626539</v>
      </c>
      <c r="AE12">
        <f t="shared" si="10"/>
        <v>0.55952076819401864</v>
      </c>
      <c r="AG12">
        <f t="shared" si="11"/>
        <v>1.5801053926990494</v>
      </c>
      <c r="AH12">
        <f t="shared" si="12"/>
        <v>22.592267991040998</v>
      </c>
      <c r="AI12">
        <f t="shared" si="13"/>
        <v>0.125</v>
      </c>
      <c r="AJ12">
        <f t="shared" si="14"/>
        <v>9.7823960439978735E-3</v>
      </c>
      <c r="AK12">
        <f t="shared" si="15"/>
        <v>4.3787629994526546E-2</v>
      </c>
      <c r="AM12">
        <f t="shared" si="16"/>
        <v>34.285714285714278</v>
      </c>
      <c r="AN12">
        <f t="shared" si="17"/>
        <v>3504.8380919673314</v>
      </c>
      <c r="AO12">
        <f t="shared" si="18"/>
        <v>0.23102753777953955</v>
      </c>
      <c r="AP12">
        <f t="shared" si="19"/>
        <v>4.7082857078225043E-2</v>
      </c>
      <c r="AQ12">
        <f t="shared" si="20"/>
        <v>0.36884001431291408</v>
      </c>
      <c r="AR12">
        <f t="shared" si="21"/>
        <v>0.2170556274387769</v>
      </c>
      <c r="AS12">
        <f t="shared" si="22"/>
        <v>5.5328663793103444E-3</v>
      </c>
    </row>
    <row r="13" spans="2:45" x14ac:dyDescent="0.2">
      <c r="B13">
        <v>250</v>
      </c>
      <c r="C13">
        <v>30.088000000000001</v>
      </c>
      <c r="D13">
        <v>0.12018</v>
      </c>
      <c r="E13">
        <v>20.82</v>
      </c>
      <c r="F13">
        <v>984.72</v>
      </c>
      <c r="K13">
        <v>10</v>
      </c>
      <c r="L13">
        <v>90</v>
      </c>
      <c r="M13">
        <v>41.833300000000001</v>
      </c>
      <c r="N13">
        <v>2.3166069999999999</v>
      </c>
      <c r="O13">
        <v>40.166670000000003</v>
      </c>
      <c r="P13">
        <v>3.6560450000000002</v>
      </c>
      <c r="Q13">
        <f>42/(250/250)</f>
        <v>42</v>
      </c>
      <c r="R13">
        <f t="shared" si="1"/>
        <v>162.96571873782628</v>
      </c>
      <c r="S13">
        <f t="shared" si="2"/>
        <v>9.0245695364238419</v>
      </c>
      <c r="T13">
        <f t="shared" si="3"/>
        <v>156.47319828593692</v>
      </c>
      <c r="U13">
        <f t="shared" si="4"/>
        <v>14.242481495909624</v>
      </c>
      <c r="V13">
        <f t="shared" si="5"/>
        <v>1.552054464169774</v>
      </c>
      <c r="W13">
        <f t="shared" si="5"/>
        <v>8.594828129927469E-2</v>
      </c>
      <c r="X13">
        <f t="shared" si="5"/>
        <v>1.4902209360565422</v>
      </c>
      <c r="Y13">
        <f t="shared" si="5"/>
        <v>0.13564268091342499</v>
      </c>
      <c r="Z13">
        <f t="shared" si="6"/>
        <v>15.873015873015872</v>
      </c>
      <c r="AA13">
        <f t="shared" si="7"/>
        <v>142.85714285714283</v>
      </c>
      <c r="AB13">
        <f t="shared" si="8"/>
        <v>158.73015873015871</v>
      </c>
      <c r="AC13">
        <f t="shared" si="9"/>
        <v>0.16226102277626539</v>
      </c>
      <c r="AE13">
        <f t="shared" si="10"/>
        <v>0.55952076819401864</v>
      </c>
      <c r="AG13">
        <f t="shared" si="11"/>
        <v>1.5801053926990494</v>
      </c>
      <c r="AH13">
        <f t="shared" si="12"/>
        <v>25.416301489921118</v>
      </c>
      <c r="AI13">
        <f t="shared" si="13"/>
        <v>0.1111111111111111</v>
      </c>
      <c r="AJ13">
        <f t="shared" si="14"/>
        <v>9.7823960439978735E-3</v>
      </c>
      <c r="AK13">
        <f t="shared" si="15"/>
        <v>4.926108374384236E-2</v>
      </c>
      <c r="AM13">
        <f t="shared" si="16"/>
        <v>34.285714285714278</v>
      </c>
      <c r="AN13">
        <f t="shared" si="17"/>
        <v>3504.8380919673314</v>
      </c>
      <c r="AO13">
        <f t="shared" si="18"/>
        <v>0.20128680123597667</v>
      </c>
      <c r="AP13">
        <f t="shared" si="19"/>
        <v>4.1021766432754257E-2</v>
      </c>
      <c r="AQ13">
        <f t="shared" si="20"/>
        <v>0.32022482963115201</v>
      </c>
      <c r="AR13">
        <f t="shared" si="21"/>
        <v>0.18844647711703424</v>
      </c>
      <c r="AS13">
        <f t="shared" si="22"/>
        <v>4.3716475095785445E-3</v>
      </c>
    </row>
    <row r="14" spans="2:45" x14ac:dyDescent="0.2">
      <c r="B14">
        <v>199</v>
      </c>
      <c r="C14">
        <v>27.917000000000002</v>
      </c>
      <c r="D14">
        <v>0.14035</v>
      </c>
      <c r="E14">
        <v>20.82</v>
      </c>
      <c r="F14">
        <v>913.67</v>
      </c>
      <c r="K14">
        <v>20</v>
      </c>
      <c r="L14">
        <v>100</v>
      </c>
      <c r="R14">
        <f t="shared" si="1"/>
        <v>0</v>
      </c>
      <c r="S14">
        <f t="shared" si="2"/>
        <v>0</v>
      </c>
      <c r="T14">
        <f t="shared" si="3"/>
        <v>0</v>
      </c>
      <c r="U14">
        <f t="shared" si="4"/>
        <v>0</v>
      </c>
      <c r="V14">
        <f t="shared" si="5"/>
        <v>0</v>
      </c>
      <c r="W14">
        <f t="shared" si="5"/>
        <v>0</v>
      </c>
      <c r="X14">
        <f t="shared" si="5"/>
        <v>0</v>
      </c>
      <c r="Y14">
        <f t="shared" si="5"/>
        <v>0</v>
      </c>
      <c r="Z14">
        <f t="shared" si="6"/>
        <v>31.746031746031743</v>
      </c>
      <c r="AA14">
        <f t="shared" si="7"/>
        <v>158.73015873015871</v>
      </c>
      <c r="AB14">
        <f t="shared" si="8"/>
        <v>317.46031746031741</v>
      </c>
      <c r="AC14">
        <f t="shared" si="9"/>
        <v>0.10140735497534717</v>
      </c>
      <c r="AE14">
        <f t="shared" si="10"/>
        <v>0.34968053439774888</v>
      </c>
      <c r="AG14">
        <f t="shared" si="11"/>
        <v>1.9750190860910928</v>
      </c>
      <c r="AH14">
        <f t="shared" si="12"/>
        <v>28.240334988801241</v>
      </c>
      <c r="AI14">
        <f t="shared" si="13"/>
        <v>0.2</v>
      </c>
      <c r="AJ14">
        <f t="shared" si="14"/>
        <v>3.1305452897129035E-2</v>
      </c>
      <c r="AK14">
        <f t="shared" si="15"/>
        <v>5.4734537493158181E-2</v>
      </c>
      <c r="AM14">
        <f t="shared" si="16"/>
        <v>68.571428571428555</v>
      </c>
      <c r="AN14">
        <f t="shared" si="17"/>
        <v>2190.3988674674983</v>
      </c>
      <c r="AO14">
        <f t="shared" si="18"/>
        <v>0.36085242643528831</v>
      </c>
      <c r="AP14">
        <f t="shared" si="19"/>
        <v>5.3835058721549006E-2</v>
      </c>
      <c r="AQ14">
        <f t="shared" si="20"/>
        <v>0.64830893842660997</v>
      </c>
      <c r="AR14">
        <f t="shared" si="21"/>
        <v>0.34384327112015295</v>
      </c>
      <c r="AS14">
        <f t="shared" si="22"/>
        <v>7.0820689655172429E-3</v>
      </c>
    </row>
    <row r="15" spans="2:45" x14ac:dyDescent="0.2">
      <c r="B15">
        <v>158</v>
      </c>
      <c r="C15">
        <v>25.875</v>
      </c>
      <c r="D15">
        <v>0.16372</v>
      </c>
      <c r="E15">
        <v>20.82</v>
      </c>
      <c r="F15">
        <v>846.82</v>
      </c>
      <c r="K15">
        <v>20</v>
      </c>
      <c r="L15">
        <v>20</v>
      </c>
      <c r="R15">
        <f t="shared" si="1"/>
        <v>0</v>
      </c>
      <c r="S15">
        <f t="shared" si="2"/>
        <v>0</v>
      </c>
      <c r="T15">
        <f t="shared" si="3"/>
        <v>0</v>
      </c>
      <c r="U15">
        <f t="shared" si="4"/>
        <v>0</v>
      </c>
      <c r="V15">
        <f t="shared" si="5"/>
        <v>0</v>
      </c>
      <c r="W15">
        <f t="shared" si="5"/>
        <v>0</v>
      </c>
      <c r="X15">
        <f t="shared" si="5"/>
        <v>0</v>
      </c>
      <c r="Y15">
        <f t="shared" si="5"/>
        <v>0</v>
      </c>
      <c r="Z15">
        <f t="shared" si="6"/>
        <v>31.746031746031743</v>
      </c>
      <c r="AA15">
        <f t="shared" si="7"/>
        <v>31.746031746031743</v>
      </c>
      <c r="AB15">
        <f t="shared" si="8"/>
        <v>317.46031746031741</v>
      </c>
      <c r="AC15">
        <f t="shared" si="9"/>
        <v>0.10140735497534717</v>
      </c>
      <c r="AE15">
        <f t="shared" si="10"/>
        <v>0.34968053439774888</v>
      </c>
      <c r="AG15">
        <f t="shared" si="11"/>
        <v>1.9750190860910928</v>
      </c>
      <c r="AH15">
        <f t="shared" si="12"/>
        <v>5.6480669977602496</v>
      </c>
      <c r="AI15">
        <f t="shared" si="13"/>
        <v>1</v>
      </c>
      <c r="AJ15">
        <f t="shared" si="14"/>
        <v>3.1305452897129035E-2</v>
      </c>
      <c r="AK15">
        <f t="shared" si="15"/>
        <v>1.0946907498631636E-2</v>
      </c>
      <c r="AM15">
        <f t="shared" si="16"/>
        <v>68.571428571428555</v>
      </c>
      <c r="AN15">
        <f t="shared" si="17"/>
        <v>2190.3988674674983</v>
      </c>
      <c r="AO15">
        <f t="shared" si="18"/>
        <v>2.3720538002916256</v>
      </c>
      <c r="AP15">
        <f t="shared" si="19"/>
        <v>0.353883322583875</v>
      </c>
      <c r="AQ15">
        <f t="shared" si="20"/>
        <v>4.4724553606881292</v>
      </c>
      <c r="AR15">
        <f t="shared" si="21"/>
        <v>2.3720538002916256</v>
      </c>
      <c r="AS15">
        <f t="shared" si="22"/>
        <v>0.17705172413793102</v>
      </c>
    </row>
    <row r="16" spans="2:45" x14ac:dyDescent="0.2">
      <c r="B16">
        <v>126</v>
      </c>
      <c r="C16">
        <v>23.928000000000001</v>
      </c>
      <c r="D16">
        <v>0.19056000000000001</v>
      </c>
      <c r="E16">
        <v>20.82</v>
      </c>
      <c r="F16">
        <v>783.1</v>
      </c>
      <c r="K16">
        <v>20</v>
      </c>
      <c r="L16">
        <v>60</v>
      </c>
      <c r="R16">
        <f t="shared" si="1"/>
        <v>0</v>
      </c>
      <c r="S16">
        <f t="shared" si="2"/>
        <v>0</v>
      </c>
      <c r="T16">
        <f t="shared" si="3"/>
        <v>0</v>
      </c>
      <c r="U16">
        <f t="shared" si="4"/>
        <v>0</v>
      </c>
      <c r="V16">
        <f t="shared" si="5"/>
        <v>0</v>
      </c>
      <c r="W16">
        <f t="shared" si="5"/>
        <v>0</v>
      </c>
      <c r="X16">
        <f t="shared" si="5"/>
        <v>0</v>
      </c>
      <c r="Y16">
        <f t="shared" si="5"/>
        <v>0</v>
      </c>
      <c r="Z16">
        <f t="shared" si="6"/>
        <v>31.746031746031743</v>
      </c>
      <c r="AA16">
        <f t="shared" si="7"/>
        <v>95.238095238095227</v>
      </c>
      <c r="AB16">
        <f t="shared" si="8"/>
        <v>317.46031746031741</v>
      </c>
      <c r="AC16">
        <f t="shared" si="9"/>
        <v>0.10140735497534717</v>
      </c>
      <c r="AE16">
        <f t="shared" si="10"/>
        <v>0.34968053439774888</v>
      </c>
      <c r="AG16">
        <f t="shared" si="11"/>
        <v>1.9750190860910928</v>
      </c>
      <c r="AH16">
        <f t="shared" si="12"/>
        <v>16.944200993280745</v>
      </c>
      <c r="AI16">
        <f t="shared" si="13"/>
        <v>0.33333333333333331</v>
      </c>
      <c r="AJ16">
        <f t="shared" si="14"/>
        <v>3.1305452897129035E-2</v>
      </c>
      <c r="AK16">
        <f t="shared" si="15"/>
        <v>3.2840722495894911E-2</v>
      </c>
      <c r="AM16">
        <f t="shared" si="16"/>
        <v>68.571428571428555</v>
      </c>
      <c r="AN16">
        <f t="shared" si="17"/>
        <v>2190.3988674674983</v>
      </c>
      <c r="AO16">
        <f t="shared" si="18"/>
        <v>0.65598312434101202</v>
      </c>
      <c r="AP16">
        <f t="shared" si="19"/>
        <v>9.7865186519887751E-2</v>
      </c>
      <c r="AQ16">
        <f t="shared" si="20"/>
        <v>1.1967419337139018</v>
      </c>
      <c r="AR16">
        <f t="shared" si="21"/>
        <v>0.63471539074179673</v>
      </c>
      <c r="AS16">
        <f t="shared" si="22"/>
        <v>1.9672413793103451E-2</v>
      </c>
    </row>
    <row r="17" spans="2:45" x14ac:dyDescent="0.2">
      <c r="B17">
        <v>99.8</v>
      </c>
      <c r="C17">
        <v>22.097000000000001</v>
      </c>
      <c r="D17">
        <v>0.2215</v>
      </c>
      <c r="E17">
        <v>20.82</v>
      </c>
      <c r="F17">
        <v>723.19</v>
      </c>
      <c r="K17">
        <v>20</v>
      </c>
      <c r="L17">
        <v>80</v>
      </c>
      <c r="R17">
        <f t="shared" si="1"/>
        <v>0</v>
      </c>
      <c r="S17">
        <f t="shared" si="2"/>
        <v>0</v>
      </c>
      <c r="T17">
        <f t="shared" si="3"/>
        <v>0</v>
      </c>
      <c r="U17">
        <f t="shared" si="4"/>
        <v>0</v>
      </c>
      <c r="V17">
        <f t="shared" si="5"/>
        <v>0</v>
      </c>
      <c r="W17">
        <f t="shared" si="5"/>
        <v>0</v>
      </c>
      <c r="X17">
        <f t="shared" si="5"/>
        <v>0</v>
      </c>
      <c r="Y17">
        <f t="shared" si="5"/>
        <v>0</v>
      </c>
      <c r="Z17">
        <f t="shared" si="6"/>
        <v>31.746031746031743</v>
      </c>
      <c r="AA17">
        <f t="shared" si="7"/>
        <v>126.98412698412697</v>
      </c>
      <c r="AB17">
        <f t="shared" si="8"/>
        <v>317.46031746031741</v>
      </c>
      <c r="AC17">
        <f t="shared" si="9"/>
        <v>0.10140735497534717</v>
      </c>
      <c r="AE17">
        <f t="shared" si="10"/>
        <v>0.34968053439774888</v>
      </c>
      <c r="AG17">
        <f t="shared" si="11"/>
        <v>1.9750190860910928</v>
      </c>
      <c r="AH17">
        <f t="shared" si="12"/>
        <v>22.592267991040998</v>
      </c>
      <c r="AI17">
        <f t="shared" si="13"/>
        <v>0.25</v>
      </c>
      <c r="AJ17">
        <f t="shared" si="14"/>
        <v>3.1305452897129035E-2</v>
      </c>
      <c r="AK17">
        <f t="shared" si="15"/>
        <v>4.3787629994526546E-2</v>
      </c>
      <c r="AM17">
        <f t="shared" si="16"/>
        <v>68.571428571428555</v>
      </c>
      <c r="AN17">
        <f t="shared" si="17"/>
        <v>2190.3988674674983</v>
      </c>
      <c r="AO17">
        <f t="shared" si="18"/>
        <v>0.46850512404822625</v>
      </c>
      <c r="AP17">
        <f t="shared" si="19"/>
        <v>6.9895611105183816E-2</v>
      </c>
      <c r="AQ17">
        <f t="shared" si="20"/>
        <v>0.8473718353966545</v>
      </c>
      <c r="AR17">
        <f t="shared" si="21"/>
        <v>0.44942015521949558</v>
      </c>
      <c r="AS17">
        <f t="shared" si="22"/>
        <v>1.1065732758620689E-2</v>
      </c>
    </row>
    <row r="18" spans="2:45" x14ac:dyDescent="0.2">
      <c r="B18">
        <v>79.3</v>
      </c>
      <c r="C18">
        <v>20.344000000000001</v>
      </c>
      <c r="D18">
        <v>0.25667000000000001</v>
      </c>
      <c r="E18">
        <v>20.82</v>
      </c>
      <c r="F18">
        <v>665.8</v>
      </c>
      <c r="K18">
        <v>5</v>
      </c>
      <c r="L18">
        <v>100</v>
      </c>
      <c r="M18">
        <v>24.228000000000002</v>
      </c>
      <c r="N18">
        <v>1.6808000000000001</v>
      </c>
      <c r="O18">
        <v>23.0075</v>
      </c>
      <c r="P18">
        <v>1.5761000000000001</v>
      </c>
      <c r="Q18">
        <f>103/(250/1000)</f>
        <v>412</v>
      </c>
      <c r="R18">
        <f t="shared" si="1"/>
        <v>94.382547721075198</v>
      </c>
      <c r="S18">
        <f t="shared" si="2"/>
        <v>6.5477210751850414</v>
      </c>
      <c r="T18">
        <f t="shared" si="3"/>
        <v>89.627970393455399</v>
      </c>
      <c r="U18">
        <f t="shared" si="4"/>
        <v>6.1398519672769778</v>
      </c>
      <c r="V18">
        <f t="shared" si="5"/>
        <v>0.89888140686738283</v>
      </c>
      <c r="W18">
        <f t="shared" si="5"/>
        <v>6.2359248335095631E-2</v>
      </c>
      <c r="X18">
        <f t="shared" si="5"/>
        <v>0.85359971803290857</v>
      </c>
      <c r="Y18">
        <f t="shared" si="5"/>
        <v>5.8474780640733123E-2</v>
      </c>
      <c r="Z18">
        <f t="shared" si="6"/>
        <v>7.9365079365079358</v>
      </c>
      <c r="AA18">
        <f t="shared" si="7"/>
        <v>158.73015873015871</v>
      </c>
      <c r="AB18">
        <f t="shared" si="8"/>
        <v>79.365079365079353</v>
      </c>
      <c r="AC18">
        <f t="shared" si="9"/>
        <v>0.25525336396814802</v>
      </c>
      <c r="AE18">
        <f t="shared" si="10"/>
        <v>0.88018401368326904</v>
      </c>
      <c r="AG18">
        <f t="shared" si="11"/>
        <v>1.2428345699101568</v>
      </c>
      <c r="AH18">
        <f t="shared" si="12"/>
        <v>28.240334988801241</v>
      </c>
      <c r="AI18">
        <f t="shared" si="13"/>
        <v>0.05</v>
      </c>
      <c r="AJ18">
        <f t="shared" si="14"/>
        <v>3.1092667352655536E-3</v>
      </c>
      <c r="AK18">
        <f t="shared" si="15"/>
        <v>5.4734537493158181E-2</v>
      </c>
      <c r="AM18">
        <f t="shared" si="16"/>
        <v>17.142857142857139</v>
      </c>
      <c r="AN18">
        <f t="shared" si="17"/>
        <v>5513.4726617119959</v>
      </c>
      <c r="AO18">
        <f t="shared" si="18"/>
        <v>8.7746224464502739E-2</v>
      </c>
      <c r="AP18">
        <f t="shared" si="19"/>
        <v>2.4428173508714957E-2</v>
      </c>
      <c r="AQ18">
        <f t="shared" si="20"/>
        <v>0.12283157477374781</v>
      </c>
      <c r="AR18">
        <f t="shared" si="21"/>
        <v>8.0204278968259435E-2</v>
      </c>
      <c r="AS18">
        <f t="shared" si="22"/>
        <v>1.7705172413793107E-3</v>
      </c>
    </row>
    <row r="19" spans="2:45" x14ac:dyDescent="0.2">
      <c r="B19">
        <v>63</v>
      </c>
      <c r="C19">
        <v>18.672000000000001</v>
      </c>
      <c r="D19">
        <v>0.29652000000000001</v>
      </c>
      <c r="E19">
        <v>20.82</v>
      </c>
      <c r="F19">
        <v>611.08000000000004</v>
      </c>
      <c r="K19">
        <v>5</v>
      </c>
      <c r="L19">
        <v>10</v>
      </c>
      <c r="R19">
        <f t="shared" si="1"/>
        <v>0</v>
      </c>
      <c r="S19">
        <f t="shared" si="2"/>
        <v>0</v>
      </c>
      <c r="T19">
        <f t="shared" si="3"/>
        <v>0</v>
      </c>
      <c r="U19">
        <f t="shared" si="4"/>
        <v>0</v>
      </c>
      <c r="V19">
        <f t="shared" si="5"/>
        <v>0</v>
      </c>
      <c r="W19">
        <f t="shared" si="5"/>
        <v>0</v>
      </c>
      <c r="X19">
        <f t="shared" si="5"/>
        <v>0</v>
      </c>
      <c r="Y19">
        <f t="shared" si="5"/>
        <v>0</v>
      </c>
      <c r="Z19">
        <f t="shared" si="6"/>
        <v>7.9365079365079358</v>
      </c>
      <c r="AA19">
        <f t="shared" si="7"/>
        <v>15.873015873015872</v>
      </c>
      <c r="AB19">
        <f t="shared" si="8"/>
        <v>79.365079365079353</v>
      </c>
      <c r="AC19">
        <f t="shared" si="9"/>
        <v>0.25525336396814802</v>
      </c>
      <c r="AE19">
        <f t="shared" si="10"/>
        <v>0.88018401368326904</v>
      </c>
      <c r="AG19">
        <f t="shared" si="11"/>
        <v>1.2428345699101568</v>
      </c>
      <c r="AH19">
        <f t="shared" si="12"/>
        <v>2.8240334988801248</v>
      </c>
      <c r="AI19">
        <f t="shared" si="13"/>
        <v>0.5</v>
      </c>
      <c r="AJ19">
        <f t="shared" si="14"/>
        <v>3.1092667352655536E-3</v>
      </c>
      <c r="AK19">
        <f t="shared" si="15"/>
        <v>5.4734537493158182E-3</v>
      </c>
      <c r="AM19">
        <f t="shared" si="16"/>
        <v>17.142857142857139</v>
      </c>
      <c r="AN19">
        <f t="shared" si="17"/>
        <v>5513.4726617119959</v>
      </c>
      <c r="AO19">
        <f t="shared" si="18"/>
        <v>1.2978617663553627</v>
      </c>
      <c r="AP19">
        <f t="shared" si="19"/>
        <v>0.36131916344368653</v>
      </c>
      <c r="AQ19">
        <f t="shared" si="20"/>
        <v>1.9467492667819108</v>
      </c>
      <c r="AR19">
        <f t="shared" si="21"/>
        <v>1.2711521574304643</v>
      </c>
      <c r="AS19">
        <f t="shared" si="22"/>
        <v>0.17705172413793102</v>
      </c>
    </row>
    <row r="20" spans="2:45" x14ac:dyDescent="0.2">
      <c r="B20">
        <v>50</v>
      </c>
      <c r="C20">
        <v>17.079000000000001</v>
      </c>
      <c r="D20">
        <v>0.34139000000000003</v>
      </c>
      <c r="E20">
        <v>20.82</v>
      </c>
      <c r="F20">
        <v>558.97</v>
      </c>
      <c r="K20">
        <v>5</v>
      </c>
      <c r="L20">
        <v>20</v>
      </c>
      <c r="M20">
        <v>49.473399999999998</v>
      </c>
      <c r="N20">
        <v>2.0190999999999999</v>
      </c>
      <c r="O20">
        <v>47.360900000000001</v>
      </c>
      <c r="P20">
        <v>1.9427000000000001</v>
      </c>
      <c r="Q20">
        <f>41/(250/250)</f>
        <v>41</v>
      </c>
      <c r="R20">
        <f t="shared" si="1"/>
        <v>192.72847682119206</v>
      </c>
      <c r="S20">
        <f t="shared" si="2"/>
        <v>7.865601869887028</v>
      </c>
      <c r="T20">
        <f t="shared" si="3"/>
        <v>184.49902610050646</v>
      </c>
      <c r="U20">
        <f t="shared" si="4"/>
        <v>7.567978184651345</v>
      </c>
      <c r="V20">
        <f t="shared" si="5"/>
        <v>1.835509303058972</v>
      </c>
      <c r="W20">
        <f t="shared" si="5"/>
        <v>7.4910493998924077E-2</v>
      </c>
      <c r="X20">
        <f t="shared" si="5"/>
        <v>1.7571335819095852</v>
      </c>
      <c r="Y20">
        <f t="shared" si="5"/>
        <v>7.2075982710965186E-2</v>
      </c>
      <c r="Z20">
        <f t="shared" si="6"/>
        <v>7.9365079365079358</v>
      </c>
      <c r="AA20">
        <f t="shared" si="7"/>
        <v>31.746031746031743</v>
      </c>
      <c r="AB20">
        <f t="shared" si="8"/>
        <v>79.365079365079353</v>
      </c>
      <c r="AC20">
        <f t="shared" si="9"/>
        <v>0.25525336396814802</v>
      </c>
      <c r="AE20">
        <f t="shared" si="10"/>
        <v>0.88018401368326904</v>
      </c>
      <c r="AG20">
        <f t="shared" si="11"/>
        <v>1.2428345699101568</v>
      </c>
      <c r="AH20">
        <f t="shared" si="12"/>
        <v>5.6480669977602496</v>
      </c>
      <c r="AI20">
        <f t="shared" si="13"/>
        <v>0.25</v>
      </c>
      <c r="AJ20">
        <f t="shared" si="14"/>
        <v>3.1092667352655536E-3</v>
      </c>
      <c r="AK20">
        <f t="shared" si="15"/>
        <v>1.0946907498631636E-2</v>
      </c>
      <c r="AM20">
        <f t="shared" si="16"/>
        <v>17.142857142857139</v>
      </c>
      <c r="AN20">
        <f t="shared" si="17"/>
        <v>5513.4726617119959</v>
      </c>
      <c r="AO20">
        <f t="shared" si="18"/>
        <v>0.5767974660954408</v>
      </c>
      <c r="AP20">
        <f t="shared" si="19"/>
        <v>0.16057794699607431</v>
      </c>
      <c r="AQ20">
        <f t="shared" si="20"/>
        <v>0.8473718353966545</v>
      </c>
      <c r="AR20">
        <f t="shared" si="21"/>
        <v>0.55330111334308696</v>
      </c>
      <c r="AS20">
        <f t="shared" si="22"/>
        <v>4.4262931034482755E-2</v>
      </c>
    </row>
    <row r="21" spans="2:45" x14ac:dyDescent="0.2">
      <c r="B21">
        <v>39.700000000000003</v>
      </c>
      <c r="C21">
        <v>15.568</v>
      </c>
      <c r="D21">
        <v>0.39169999999999999</v>
      </c>
      <c r="E21">
        <v>20.82</v>
      </c>
      <c r="F21">
        <v>509.52</v>
      </c>
      <c r="K21">
        <v>5</v>
      </c>
      <c r="L21">
        <v>30</v>
      </c>
      <c r="M21">
        <v>39.7742</v>
      </c>
      <c r="N21">
        <v>0.41660000000000003</v>
      </c>
      <c r="O21">
        <v>38.007399999999997</v>
      </c>
      <c r="P21">
        <v>0.3785</v>
      </c>
      <c r="Q21">
        <f>36/(250/500)</f>
        <v>72</v>
      </c>
      <c r="R21">
        <f t="shared" si="1"/>
        <v>154.94429294896767</v>
      </c>
      <c r="S21">
        <f t="shared" si="2"/>
        <v>1.6229061160888199</v>
      </c>
      <c r="T21">
        <f t="shared" si="3"/>
        <v>148.06155044799377</v>
      </c>
      <c r="U21">
        <f t="shared" si="4"/>
        <v>1.4744838332684067</v>
      </c>
      <c r="V21">
        <f t="shared" si="5"/>
        <v>1.4756599328473112</v>
      </c>
      <c r="W21">
        <f t="shared" si="5"/>
        <v>1.5456248724655426E-2</v>
      </c>
      <c r="X21">
        <f t="shared" si="5"/>
        <v>1.4101100042666073</v>
      </c>
      <c r="Y21">
        <f t="shared" si="5"/>
        <v>1.4042703173984825E-2</v>
      </c>
      <c r="Z21">
        <f t="shared" si="6"/>
        <v>7.9365079365079358</v>
      </c>
      <c r="AA21">
        <f t="shared" si="7"/>
        <v>47.619047619047613</v>
      </c>
      <c r="AB21">
        <f t="shared" si="8"/>
        <v>79.365079365079353</v>
      </c>
      <c r="AC21">
        <f t="shared" si="9"/>
        <v>0.25525336396814802</v>
      </c>
      <c r="AE21">
        <f t="shared" si="10"/>
        <v>0.88018401368326904</v>
      </c>
      <c r="AG21">
        <f t="shared" si="11"/>
        <v>1.2428345699101568</v>
      </c>
      <c r="AH21">
        <f t="shared" si="12"/>
        <v>8.4721004966403726</v>
      </c>
      <c r="AI21">
        <f t="shared" si="13"/>
        <v>0.16666666666666666</v>
      </c>
      <c r="AJ21">
        <f t="shared" si="14"/>
        <v>3.1092667352655536E-3</v>
      </c>
      <c r="AK21">
        <f t="shared" si="15"/>
        <v>1.6420361247947456E-2</v>
      </c>
      <c r="AM21">
        <f t="shared" si="16"/>
        <v>17.142857142857139</v>
      </c>
      <c r="AN21">
        <f t="shared" si="17"/>
        <v>5513.4726617119959</v>
      </c>
      <c r="AO21">
        <f t="shared" si="18"/>
        <v>0.35891910054985499</v>
      </c>
      <c r="AP21">
        <f t="shared" si="19"/>
        <v>9.9921542121401571E-2</v>
      </c>
      <c r="AQ21">
        <f t="shared" si="20"/>
        <v>0.52091218225736502</v>
      </c>
      <c r="AR21">
        <f t="shared" si="21"/>
        <v>0.34013555603020584</v>
      </c>
      <c r="AS21">
        <f t="shared" si="22"/>
        <v>1.9672413793103451E-2</v>
      </c>
    </row>
    <row r="22" spans="2:45" x14ac:dyDescent="0.2">
      <c r="B22">
        <v>31.6</v>
      </c>
      <c r="C22">
        <v>14.135999999999999</v>
      </c>
      <c r="D22">
        <v>0.44762999999999997</v>
      </c>
      <c r="E22">
        <v>20.82</v>
      </c>
      <c r="F22">
        <v>462.64</v>
      </c>
      <c r="K22">
        <v>5</v>
      </c>
      <c r="L22">
        <v>40</v>
      </c>
      <c r="M22">
        <v>35.9101</v>
      </c>
      <c r="N22">
        <v>1.6955</v>
      </c>
      <c r="O22">
        <v>34.473100000000002</v>
      </c>
      <c r="P22">
        <v>1.1953</v>
      </c>
      <c r="Q22">
        <f>48/(250/250)</f>
        <v>48</v>
      </c>
      <c r="R22">
        <f t="shared" si="1"/>
        <v>139.89131281651734</v>
      </c>
      <c r="S22">
        <f t="shared" si="2"/>
        <v>6.6049863654070906</v>
      </c>
      <c r="T22">
        <f t="shared" si="3"/>
        <v>134.29333852746399</v>
      </c>
      <c r="U22">
        <f t="shared" si="4"/>
        <v>4.6564082586677058</v>
      </c>
      <c r="V22">
        <f t="shared" si="5"/>
        <v>1.3322982173001652</v>
      </c>
      <c r="W22">
        <f t="shared" si="5"/>
        <v>6.2904632051496101E-2</v>
      </c>
      <c r="X22">
        <f t="shared" si="5"/>
        <v>1.278984176452038</v>
      </c>
      <c r="Y22">
        <f t="shared" si="5"/>
        <v>4.4346745320644816E-2</v>
      </c>
      <c r="Z22">
        <f t="shared" si="6"/>
        <v>7.9365079365079358</v>
      </c>
      <c r="AA22">
        <f t="shared" si="7"/>
        <v>63.492063492063487</v>
      </c>
      <c r="AB22">
        <f t="shared" si="8"/>
        <v>79.365079365079353</v>
      </c>
      <c r="AC22">
        <f t="shared" si="9"/>
        <v>0.25525336396814802</v>
      </c>
      <c r="AE22">
        <f t="shared" si="10"/>
        <v>0.88018401368326904</v>
      </c>
      <c r="AG22">
        <f t="shared" si="11"/>
        <v>1.2428345699101568</v>
      </c>
      <c r="AH22">
        <f t="shared" si="12"/>
        <v>11.296133995520499</v>
      </c>
      <c r="AI22">
        <f t="shared" si="13"/>
        <v>0.125</v>
      </c>
      <c r="AJ22">
        <f t="shared" si="14"/>
        <v>3.1092667352655536E-3</v>
      </c>
      <c r="AK22">
        <f t="shared" si="15"/>
        <v>2.1893814997263273E-2</v>
      </c>
      <c r="AM22">
        <f t="shared" si="16"/>
        <v>17.142857142857139</v>
      </c>
      <c r="AN22">
        <f t="shared" si="17"/>
        <v>5513.4726617119959</v>
      </c>
      <c r="AO22">
        <f t="shared" si="18"/>
        <v>0.25634110312717778</v>
      </c>
      <c r="AP22">
        <f t="shared" si="19"/>
        <v>7.1364266472107057E-2</v>
      </c>
      <c r="AQ22">
        <f t="shared" si="20"/>
        <v>0.36884001431291408</v>
      </c>
      <c r="AR22">
        <f t="shared" si="21"/>
        <v>0.24083829794659853</v>
      </c>
      <c r="AS22">
        <f t="shared" si="22"/>
        <v>1.1065732758620689E-2</v>
      </c>
    </row>
    <row r="23" spans="2:45" x14ac:dyDescent="0.2">
      <c r="B23">
        <v>25.1</v>
      </c>
      <c r="C23">
        <v>12.779</v>
      </c>
      <c r="D23">
        <v>0.50938000000000005</v>
      </c>
      <c r="E23">
        <v>20.83</v>
      </c>
      <c r="F23">
        <v>418.23</v>
      </c>
      <c r="K23">
        <v>5</v>
      </c>
      <c r="L23">
        <v>50</v>
      </c>
      <c r="M23">
        <v>35.666699999999999</v>
      </c>
      <c r="N23">
        <v>1.75119</v>
      </c>
      <c r="O23">
        <v>33.5</v>
      </c>
      <c r="P23">
        <v>1.7606820000000001</v>
      </c>
      <c r="Q23">
        <f>29/(250/1000)</f>
        <v>116</v>
      </c>
      <c r="R23">
        <f t="shared" si="1"/>
        <v>138.94312426957538</v>
      </c>
      <c r="S23">
        <f t="shared" si="2"/>
        <v>6.8219322165952478</v>
      </c>
      <c r="T23">
        <f t="shared" si="3"/>
        <v>130.50253213868331</v>
      </c>
      <c r="U23">
        <f t="shared" si="4"/>
        <v>6.8589092325671999</v>
      </c>
      <c r="V23">
        <f t="shared" si="5"/>
        <v>1.3232678501864321</v>
      </c>
      <c r="W23">
        <f t="shared" si="5"/>
        <v>6.4970783015192837E-2</v>
      </c>
      <c r="X23">
        <f t="shared" si="5"/>
        <v>1.2428812584636506</v>
      </c>
      <c r="Y23">
        <f t="shared" si="5"/>
        <v>6.5322945072068567E-2</v>
      </c>
      <c r="Z23">
        <f t="shared" si="6"/>
        <v>7.9365079365079358</v>
      </c>
      <c r="AA23">
        <f t="shared" si="7"/>
        <v>79.365079365079353</v>
      </c>
      <c r="AB23">
        <f t="shared" si="8"/>
        <v>79.365079365079353</v>
      </c>
      <c r="AC23">
        <f t="shared" si="9"/>
        <v>0.25525336396814802</v>
      </c>
      <c r="AE23">
        <f t="shared" si="10"/>
        <v>0.88018401368326904</v>
      </c>
      <c r="AG23">
        <f t="shared" si="11"/>
        <v>1.2428345699101568</v>
      </c>
      <c r="AH23">
        <f t="shared" si="12"/>
        <v>14.12016749440062</v>
      </c>
      <c r="AI23">
        <f t="shared" si="13"/>
        <v>0.1</v>
      </c>
      <c r="AJ23">
        <f t="shared" si="14"/>
        <v>3.1092667352655536E-3</v>
      </c>
      <c r="AK23">
        <f t="shared" si="15"/>
        <v>2.736726874657909E-2</v>
      </c>
      <c r="AM23">
        <f t="shared" si="16"/>
        <v>17.142857142857139</v>
      </c>
      <c r="AN23">
        <f t="shared" si="17"/>
        <v>5513.4726617119959</v>
      </c>
      <c r="AO23">
        <f t="shared" si="18"/>
        <v>0.19743926866639516</v>
      </c>
      <c r="AP23">
        <f t="shared" si="19"/>
        <v>5.4966247742860325E-2</v>
      </c>
      <c r="AQ23">
        <f t="shared" si="20"/>
        <v>0.28219285576859882</v>
      </c>
      <c r="AR23">
        <f t="shared" si="21"/>
        <v>0.18426104662912585</v>
      </c>
      <c r="AS23">
        <f t="shared" si="22"/>
        <v>7.0820689655172429E-3</v>
      </c>
    </row>
    <row r="24" spans="2:45" x14ac:dyDescent="0.2">
      <c r="B24">
        <v>19.899999999999999</v>
      </c>
      <c r="C24">
        <v>11.494</v>
      </c>
      <c r="D24">
        <v>0.57635999999999998</v>
      </c>
      <c r="E24">
        <v>20.82</v>
      </c>
      <c r="F24">
        <v>376.16</v>
      </c>
      <c r="K24">
        <v>5</v>
      </c>
      <c r="L24">
        <v>5</v>
      </c>
      <c r="R24">
        <f t="shared" si="1"/>
        <v>0</v>
      </c>
      <c r="S24">
        <f t="shared" si="2"/>
        <v>0</v>
      </c>
      <c r="T24">
        <f t="shared" si="3"/>
        <v>0</v>
      </c>
      <c r="U24">
        <f t="shared" si="4"/>
        <v>0</v>
      </c>
      <c r="V24">
        <f t="shared" si="5"/>
        <v>0</v>
      </c>
      <c r="W24">
        <f t="shared" si="5"/>
        <v>0</v>
      </c>
      <c r="X24">
        <f t="shared" si="5"/>
        <v>0</v>
      </c>
      <c r="Y24">
        <f t="shared" si="5"/>
        <v>0</v>
      </c>
      <c r="Z24">
        <f t="shared" si="6"/>
        <v>7.9365079365079358</v>
      </c>
      <c r="AA24">
        <f t="shared" si="7"/>
        <v>7.9365079365079358</v>
      </c>
      <c r="AB24">
        <f t="shared" si="8"/>
        <v>79.365079365079353</v>
      </c>
      <c r="AC24">
        <f t="shared" si="9"/>
        <v>0.25525336396814802</v>
      </c>
      <c r="AE24">
        <f t="shared" si="10"/>
        <v>0.88018401368326904</v>
      </c>
      <c r="AG24">
        <f t="shared" si="11"/>
        <v>1.2428345699101568</v>
      </c>
      <c r="AH24">
        <f t="shared" si="12"/>
        <v>1.4120167494400624</v>
      </c>
      <c r="AI24">
        <f t="shared" si="13"/>
        <v>1</v>
      </c>
      <c r="AJ24">
        <f t="shared" si="14"/>
        <v>3.1092667352655536E-3</v>
      </c>
      <c r="AK24">
        <f t="shared" si="15"/>
        <v>2.7367268746579091E-3</v>
      </c>
      <c r="AM24">
        <f t="shared" si="16"/>
        <v>17.142857142857139</v>
      </c>
      <c r="AN24">
        <f t="shared" si="17"/>
        <v>5513.4726617119959</v>
      </c>
      <c r="AO24">
        <f t="shared" si="18"/>
        <v>2.9203407843826126</v>
      </c>
      <c r="AP24">
        <f t="shared" si="19"/>
        <v>0.81301038102596457</v>
      </c>
      <c r="AQ24">
        <f t="shared" si="20"/>
        <v>4.4724553606881292</v>
      </c>
      <c r="AR24">
        <f t="shared" si="21"/>
        <v>2.9203407843826126</v>
      </c>
      <c r="AS24">
        <f t="shared" si="22"/>
        <v>0.70820689655172409</v>
      </c>
    </row>
    <row r="25" spans="2:45" x14ac:dyDescent="0.2">
      <c r="B25">
        <v>15.8</v>
      </c>
      <c r="C25">
        <v>10.288</v>
      </c>
      <c r="D25">
        <v>0.64937999999999996</v>
      </c>
      <c r="E25">
        <v>20.83</v>
      </c>
      <c r="F25">
        <v>336.69</v>
      </c>
      <c r="K25">
        <v>5</v>
      </c>
      <c r="L25">
        <v>60</v>
      </c>
      <c r="M25">
        <v>37.450499999999998</v>
      </c>
      <c r="N25">
        <v>1.9959</v>
      </c>
      <c r="O25">
        <v>35.532499999999999</v>
      </c>
      <c r="P25">
        <v>1.9094</v>
      </c>
      <c r="Q25">
        <f>33/(250/1000)</f>
        <v>132</v>
      </c>
      <c r="R25">
        <f t="shared" si="1"/>
        <v>145.89209193611219</v>
      </c>
      <c r="S25">
        <f t="shared" si="2"/>
        <v>7.7752239968835219</v>
      </c>
      <c r="T25">
        <f t="shared" si="3"/>
        <v>138.42033502142579</v>
      </c>
      <c r="U25">
        <f t="shared" si="4"/>
        <v>7.438254772107519</v>
      </c>
      <c r="V25">
        <f t="shared" si="5"/>
        <v>1.3894484946296399</v>
      </c>
      <c r="W25">
        <f t="shared" si="5"/>
        <v>7.4049752351271633E-2</v>
      </c>
      <c r="X25">
        <f t="shared" si="5"/>
        <v>1.3182889049659599</v>
      </c>
      <c r="Y25">
        <f t="shared" si="5"/>
        <v>7.0840521639119233E-2</v>
      </c>
      <c r="Z25">
        <f t="shared" si="6"/>
        <v>7.9365079365079358</v>
      </c>
      <c r="AA25">
        <f t="shared" si="7"/>
        <v>95.238095238095227</v>
      </c>
      <c r="AB25">
        <f t="shared" si="8"/>
        <v>79.365079365079353</v>
      </c>
      <c r="AC25">
        <f t="shared" si="9"/>
        <v>0.25525336396814802</v>
      </c>
      <c r="AE25">
        <f t="shared" si="10"/>
        <v>0.88018401368326904</v>
      </c>
      <c r="AG25">
        <f t="shared" si="11"/>
        <v>1.2428345699101568</v>
      </c>
      <c r="AH25">
        <f t="shared" si="12"/>
        <v>16.944200993280745</v>
      </c>
      <c r="AI25">
        <f t="shared" si="13"/>
        <v>8.3333333333333329E-2</v>
      </c>
      <c r="AJ25">
        <f t="shared" si="14"/>
        <v>3.1092667352655536E-3</v>
      </c>
      <c r="AK25">
        <f t="shared" si="15"/>
        <v>3.2840722495894911E-2</v>
      </c>
      <c r="AM25">
        <f t="shared" si="16"/>
        <v>17.142857142857139</v>
      </c>
      <c r="AN25">
        <f t="shared" si="17"/>
        <v>5513.4726617119959</v>
      </c>
      <c r="AO25">
        <f t="shared" si="18"/>
        <v>0.15951130782731343</v>
      </c>
      <c r="AP25">
        <f t="shared" si="19"/>
        <v>4.440726570274247E-2</v>
      </c>
      <c r="AQ25">
        <f t="shared" si="20"/>
        <v>0.22674019684598121</v>
      </c>
      <c r="AR25">
        <f t="shared" si="21"/>
        <v>0.14805259994956804</v>
      </c>
      <c r="AS25">
        <f t="shared" si="22"/>
        <v>4.9181034482758627E-3</v>
      </c>
    </row>
    <row r="26" spans="2:45" x14ac:dyDescent="0.2">
      <c r="B26">
        <v>12.6</v>
      </c>
      <c r="C26">
        <v>9.1486999999999998</v>
      </c>
      <c r="D26">
        <v>0.72728000000000004</v>
      </c>
      <c r="E26">
        <v>20.83</v>
      </c>
      <c r="F26">
        <v>299.42</v>
      </c>
      <c r="K26">
        <v>5</v>
      </c>
      <c r="L26">
        <v>70</v>
      </c>
      <c r="M26">
        <v>33.167769999999997</v>
      </c>
      <c r="N26">
        <v>2.4832770000000002</v>
      </c>
      <c r="O26">
        <v>31.332999999999998</v>
      </c>
      <c r="P26">
        <v>2.8047580000000001</v>
      </c>
      <c r="Q26">
        <f>35/(250/1000)</f>
        <v>140</v>
      </c>
      <c r="R26">
        <f t="shared" si="1"/>
        <v>129.20829762368524</v>
      </c>
      <c r="S26">
        <f t="shared" si="2"/>
        <v>9.6738488507985991</v>
      </c>
      <c r="T26">
        <f t="shared" si="3"/>
        <v>122.06077132839891</v>
      </c>
      <c r="U26">
        <f t="shared" si="4"/>
        <v>10.926209583171017</v>
      </c>
      <c r="V26">
        <f t="shared" si="5"/>
        <v>1.230555215463669</v>
      </c>
      <c r="W26">
        <f t="shared" si="5"/>
        <v>9.2131893817129509E-2</v>
      </c>
      <c r="X26">
        <f t="shared" si="5"/>
        <v>1.162483536460942</v>
      </c>
      <c r="Y26">
        <f t="shared" si="5"/>
        <v>0.10405913888734303</v>
      </c>
      <c r="Z26">
        <f t="shared" si="6"/>
        <v>7.9365079365079358</v>
      </c>
      <c r="AA26">
        <f t="shared" si="7"/>
        <v>111.1111111111111</v>
      </c>
      <c r="AB26">
        <f t="shared" si="8"/>
        <v>79.365079365079353</v>
      </c>
      <c r="AC26">
        <f t="shared" si="9"/>
        <v>0.25525336396814802</v>
      </c>
      <c r="AE26">
        <f t="shared" si="10"/>
        <v>0.88018401368326904</v>
      </c>
      <c r="AG26">
        <f t="shared" si="11"/>
        <v>1.2428345699101568</v>
      </c>
      <c r="AH26">
        <f t="shared" si="12"/>
        <v>19.768234492160872</v>
      </c>
      <c r="AI26">
        <f t="shared" si="13"/>
        <v>7.1428571428571425E-2</v>
      </c>
      <c r="AJ26">
        <f t="shared" si="14"/>
        <v>3.1092667352655536E-3</v>
      </c>
      <c r="AK26">
        <f t="shared" si="15"/>
        <v>3.8314176245210725E-2</v>
      </c>
      <c r="AM26">
        <f t="shared" si="16"/>
        <v>17.142857142857139</v>
      </c>
      <c r="AN26">
        <f t="shared" si="17"/>
        <v>5513.4726617119959</v>
      </c>
      <c r="AO26">
        <f t="shared" si="18"/>
        <v>0.13318758123431162</v>
      </c>
      <c r="AP26">
        <f t="shared" si="19"/>
        <v>3.7078852833309424E-2</v>
      </c>
      <c r="AQ26">
        <f t="shared" si="20"/>
        <v>0.18844836411797247</v>
      </c>
      <c r="AR26">
        <f t="shared" si="21"/>
        <v>0.12304951063820696</v>
      </c>
      <c r="AS26">
        <f t="shared" si="22"/>
        <v>3.6133004926108374E-3</v>
      </c>
    </row>
    <row r="27" spans="2:45" x14ac:dyDescent="0.2">
      <c r="B27">
        <v>9.99</v>
      </c>
      <c r="C27">
        <v>8.0908999999999995</v>
      </c>
      <c r="D27">
        <v>0.80950999999999995</v>
      </c>
      <c r="E27">
        <v>20.83</v>
      </c>
      <c r="F27">
        <v>264.8</v>
      </c>
      <c r="K27">
        <v>5</v>
      </c>
      <c r="L27">
        <v>80</v>
      </c>
      <c r="M27">
        <v>31.333300000000001</v>
      </c>
      <c r="N27">
        <v>3.6696960000000001</v>
      </c>
      <c r="O27">
        <v>32.5</v>
      </c>
      <c r="P27">
        <v>3.9370039999999999</v>
      </c>
      <c r="Q27">
        <f>41/(250/1000)</f>
        <v>164</v>
      </c>
      <c r="R27">
        <f t="shared" si="1"/>
        <v>122.06194000779121</v>
      </c>
      <c r="S27">
        <f t="shared" si="2"/>
        <v>14.295660303856643</v>
      </c>
      <c r="T27">
        <f t="shared" si="3"/>
        <v>126.60693416439425</v>
      </c>
      <c r="U27">
        <f t="shared" si="4"/>
        <v>15.336984807167902</v>
      </c>
      <c r="V27">
        <f t="shared" si="5"/>
        <v>1.1624946667408687</v>
      </c>
      <c r="W27">
        <f t="shared" si="5"/>
        <v>0.13614914575101564</v>
      </c>
      <c r="X27">
        <f t="shared" si="5"/>
        <v>1.2057803253751833</v>
      </c>
      <c r="Y27">
        <f t="shared" si="5"/>
        <v>0.14606652197302764</v>
      </c>
      <c r="Z27">
        <f t="shared" si="6"/>
        <v>7.9365079365079358</v>
      </c>
      <c r="AA27">
        <f t="shared" si="7"/>
        <v>126.98412698412697</v>
      </c>
      <c r="AB27">
        <f t="shared" si="8"/>
        <v>79.365079365079353</v>
      </c>
      <c r="AC27">
        <f t="shared" si="9"/>
        <v>0.25525336396814802</v>
      </c>
      <c r="AE27">
        <f t="shared" si="10"/>
        <v>0.88018401368326904</v>
      </c>
      <c r="AG27">
        <f t="shared" si="11"/>
        <v>1.2428345699101568</v>
      </c>
      <c r="AH27">
        <f t="shared" si="12"/>
        <v>22.592267991040998</v>
      </c>
      <c r="AI27">
        <f t="shared" si="13"/>
        <v>6.25E-2</v>
      </c>
      <c r="AJ27">
        <f t="shared" si="14"/>
        <v>3.1092667352655536E-3</v>
      </c>
      <c r="AK27">
        <f t="shared" si="15"/>
        <v>4.3787629994526546E-2</v>
      </c>
      <c r="AM27">
        <f t="shared" si="16"/>
        <v>17.142857142857139</v>
      </c>
      <c r="AN27">
        <f t="shared" si="17"/>
        <v>5513.4726617119959</v>
      </c>
      <c r="AO27">
        <f t="shared" si="18"/>
        <v>0.11392345669837846</v>
      </c>
      <c r="AP27">
        <f t="shared" si="19"/>
        <v>3.1715802975276597E-2</v>
      </c>
      <c r="AQ27">
        <f t="shared" si="20"/>
        <v>0.16054694111312895</v>
      </c>
      <c r="AR27">
        <f t="shared" si="21"/>
        <v>0.10483095797034556</v>
      </c>
      <c r="AS27">
        <f t="shared" si="22"/>
        <v>2.7664331896551722E-3</v>
      </c>
    </row>
    <row r="28" spans="2:45" x14ac:dyDescent="0.2">
      <c r="B28">
        <v>7.94</v>
      </c>
      <c r="C28">
        <v>7.1055999999999999</v>
      </c>
      <c r="D28">
        <v>0.89495999999999998</v>
      </c>
      <c r="E28">
        <v>20.83</v>
      </c>
      <c r="F28">
        <v>232.55</v>
      </c>
      <c r="K28">
        <v>5</v>
      </c>
      <c r="L28">
        <v>90</v>
      </c>
      <c r="M28">
        <v>27.553699999999999</v>
      </c>
      <c r="N28">
        <v>1.7290000000000001</v>
      </c>
      <c r="O28">
        <v>25.4285</v>
      </c>
      <c r="P28">
        <v>2.0459999999999998</v>
      </c>
      <c r="Q28">
        <f>50/(250/1000)</f>
        <v>200</v>
      </c>
      <c r="R28">
        <f t="shared" si="1"/>
        <v>107.33813790416829</v>
      </c>
      <c r="S28">
        <f t="shared" si="2"/>
        <v>6.7354888975457738</v>
      </c>
      <c r="T28">
        <f t="shared" si="3"/>
        <v>99.059213089209194</v>
      </c>
      <c r="U28">
        <f t="shared" si="4"/>
        <v>7.9703934553954028</v>
      </c>
      <c r="V28">
        <f t="shared" si="5"/>
        <v>1.0222679800396981</v>
      </c>
      <c r="W28">
        <f t="shared" si="5"/>
        <v>6.4147513309959756E-2</v>
      </c>
      <c r="X28">
        <f t="shared" si="5"/>
        <v>0.9434210770400876</v>
      </c>
      <c r="Y28">
        <f t="shared" si="5"/>
        <v>7.5908509099003832E-2</v>
      </c>
      <c r="Z28">
        <f t="shared" si="6"/>
        <v>7.9365079365079358</v>
      </c>
      <c r="AA28">
        <f t="shared" si="7"/>
        <v>142.85714285714283</v>
      </c>
      <c r="AB28">
        <f t="shared" si="8"/>
        <v>79.365079365079353</v>
      </c>
      <c r="AC28">
        <f t="shared" si="9"/>
        <v>0.25525336396814802</v>
      </c>
      <c r="AE28">
        <f t="shared" si="10"/>
        <v>0.88018401368326904</v>
      </c>
      <c r="AG28">
        <f t="shared" si="11"/>
        <v>1.2428345699101568</v>
      </c>
      <c r="AH28">
        <f t="shared" si="12"/>
        <v>25.416301489921118</v>
      </c>
      <c r="AI28">
        <f t="shared" si="13"/>
        <v>5.5555555555555552E-2</v>
      </c>
      <c r="AJ28">
        <f t="shared" si="14"/>
        <v>3.1092667352655536E-3</v>
      </c>
      <c r="AK28">
        <f t="shared" si="15"/>
        <v>4.926108374384236E-2</v>
      </c>
      <c r="AM28">
        <f t="shared" si="16"/>
        <v>17.142857142857139</v>
      </c>
      <c r="AN28">
        <f t="shared" si="17"/>
        <v>5513.4726617119959</v>
      </c>
      <c r="AO28">
        <f t="shared" si="18"/>
        <v>9.9257813180887208E-2</v>
      </c>
      <c r="AP28">
        <f t="shared" si="19"/>
        <v>2.7632950560274205E-2</v>
      </c>
      <c r="AQ28">
        <f t="shared" si="20"/>
        <v>0.13938595290840236</v>
      </c>
      <c r="AR28">
        <f t="shared" si="21"/>
        <v>9.1013649152623971E-2</v>
      </c>
      <c r="AS28">
        <f t="shared" si="22"/>
        <v>2.1858237547892722E-3</v>
      </c>
    </row>
    <row r="29" spans="2:45" x14ac:dyDescent="0.2">
      <c r="B29">
        <v>6.31</v>
      </c>
      <c r="C29">
        <v>6.2</v>
      </c>
      <c r="D29">
        <v>0.98265000000000002</v>
      </c>
      <c r="E29">
        <v>20.83</v>
      </c>
      <c r="F29">
        <v>202.91</v>
      </c>
    </row>
    <row r="30" spans="2:45" x14ac:dyDescent="0.2">
      <c r="B30">
        <v>5.01</v>
      </c>
      <c r="C30">
        <v>5.3746</v>
      </c>
      <c r="D30">
        <v>1.0727</v>
      </c>
      <c r="E30">
        <v>20.83</v>
      </c>
      <c r="F30">
        <v>175.9</v>
      </c>
    </row>
    <row r="31" spans="2:45" x14ac:dyDescent="0.2">
      <c r="B31">
        <v>3.98</v>
      </c>
      <c r="C31">
        <v>4.6710000000000003</v>
      </c>
      <c r="D31">
        <v>1.1735</v>
      </c>
      <c r="E31">
        <v>20.83</v>
      </c>
      <c r="F31">
        <v>152.87</v>
      </c>
    </row>
    <row r="32" spans="2:45" x14ac:dyDescent="0.2">
      <c r="B32">
        <v>3.16</v>
      </c>
      <c r="C32">
        <v>4.0011000000000001</v>
      </c>
      <c r="D32">
        <v>1.2650999999999999</v>
      </c>
      <c r="E32">
        <v>20.83</v>
      </c>
      <c r="F32">
        <v>130.94999999999999</v>
      </c>
    </row>
    <row r="33" spans="2:6" x14ac:dyDescent="0.2">
      <c r="B33">
        <v>2.5099999999999998</v>
      </c>
      <c r="C33">
        <v>3.4045999999999998</v>
      </c>
      <c r="D33">
        <v>1.3556999999999999</v>
      </c>
      <c r="E33">
        <v>20.83</v>
      </c>
      <c r="F33">
        <v>111.42</v>
      </c>
    </row>
    <row r="34" spans="2:6" x14ac:dyDescent="0.2">
      <c r="B34">
        <v>2</v>
      </c>
      <c r="C34">
        <v>2.8793000000000002</v>
      </c>
      <c r="D34">
        <v>1.4429000000000001</v>
      </c>
      <c r="E34">
        <v>20.83</v>
      </c>
      <c r="F34">
        <v>94.231999999999999</v>
      </c>
    </row>
    <row r="35" spans="2:6" x14ac:dyDescent="0.2">
      <c r="B35">
        <v>1.59</v>
      </c>
      <c r="C35">
        <v>2.4209000000000001</v>
      </c>
      <c r="D35">
        <v>1.5273000000000001</v>
      </c>
      <c r="E35">
        <v>20.84</v>
      </c>
      <c r="F35">
        <v>79.230999999999995</v>
      </c>
    </row>
    <row r="36" spans="2:6" x14ac:dyDescent="0.2">
      <c r="B36">
        <v>1.26</v>
      </c>
      <c r="C36">
        <v>2.0186000000000002</v>
      </c>
      <c r="D36">
        <v>1.6032999999999999</v>
      </c>
      <c r="E36">
        <v>20.84</v>
      </c>
      <c r="F36">
        <v>66.064999999999998</v>
      </c>
    </row>
    <row r="37" spans="2:6" x14ac:dyDescent="0.2">
      <c r="B37">
        <v>1</v>
      </c>
      <c r="C37">
        <v>1.6769000000000001</v>
      </c>
      <c r="D37">
        <v>1.6767000000000001</v>
      </c>
      <c r="E37">
        <v>20.84</v>
      </c>
      <c r="F37">
        <v>54.881999999999998</v>
      </c>
    </row>
    <row r="38" spans="2:6" x14ac:dyDescent="0.2">
      <c r="B38">
        <v>0.79500000000000004</v>
      </c>
      <c r="C38">
        <v>1.387</v>
      </c>
      <c r="D38">
        <v>1.7437</v>
      </c>
      <c r="E38">
        <v>20.84</v>
      </c>
      <c r="F38">
        <v>45.393999999999998</v>
      </c>
    </row>
    <row r="39" spans="2:6" x14ac:dyDescent="0.2">
      <c r="B39">
        <v>0.63100000000000001</v>
      </c>
      <c r="C39">
        <v>1.1409</v>
      </c>
      <c r="D39">
        <v>1.8080000000000001</v>
      </c>
      <c r="E39">
        <v>20.84</v>
      </c>
      <c r="F39">
        <v>37.338999999999999</v>
      </c>
    </row>
    <row r="40" spans="2:6" x14ac:dyDescent="0.2">
      <c r="B40">
        <v>0.501</v>
      </c>
      <c r="C40">
        <v>0.93349000000000004</v>
      </c>
      <c r="D40">
        <v>1.8614999999999999</v>
      </c>
      <c r="E40">
        <v>20.84</v>
      </c>
      <c r="F40">
        <v>30.550999999999998</v>
      </c>
    </row>
    <row r="41" spans="2:6" x14ac:dyDescent="0.2">
      <c r="B41">
        <v>0.39800000000000002</v>
      </c>
      <c r="C41">
        <v>0.75868999999999998</v>
      </c>
      <c r="D41">
        <v>1.9054</v>
      </c>
      <c r="E41">
        <v>20.85</v>
      </c>
      <c r="F41">
        <v>24.83</v>
      </c>
    </row>
    <row r="42" spans="2:6" x14ac:dyDescent="0.2">
      <c r="B42">
        <v>0.317</v>
      </c>
      <c r="C42">
        <v>0.62102999999999997</v>
      </c>
      <c r="D42">
        <v>1.96</v>
      </c>
      <c r="E42">
        <v>20.85</v>
      </c>
      <c r="F42">
        <v>20.324999999999999</v>
      </c>
    </row>
    <row r="43" spans="2:6" x14ac:dyDescent="0.2">
      <c r="B43">
        <v>0.252</v>
      </c>
      <c r="C43">
        <v>0.50310999999999995</v>
      </c>
      <c r="D43">
        <v>1.9987999999999999</v>
      </c>
      <c r="E43">
        <v>20.85</v>
      </c>
      <c r="F43">
        <v>16.466000000000001</v>
      </c>
    </row>
    <row r="44" spans="2:6" x14ac:dyDescent="0.2">
      <c r="B44">
        <v>0.2</v>
      </c>
      <c r="C44">
        <v>0.40816999999999998</v>
      </c>
      <c r="D44">
        <v>2.0415999999999999</v>
      </c>
      <c r="E44">
        <v>20.85</v>
      </c>
      <c r="F44">
        <v>13.359</v>
      </c>
    </row>
    <row r="45" spans="2:6" x14ac:dyDescent="0.2">
      <c r="B45">
        <v>0.159</v>
      </c>
      <c r="C45">
        <v>0.32956999999999997</v>
      </c>
      <c r="D45">
        <v>2.0752000000000002</v>
      </c>
      <c r="E45">
        <v>20.85</v>
      </c>
      <c r="F45">
        <v>10.786</v>
      </c>
    </row>
    <row r="46" spans="2:6" x14ac:dyDescent="0.2">
      <c r="B46">
        <v>0.126</v>
      </c>
      <c r="C46">
        <v>0.26734999999999998</v>
      </c>
      <c r="D46">
        <v>2.1206999999999998</v>
      </c>
      <c r="E46">
        <v>20.85</v>
      </c>
      <c r="F46">
        <v>8.7499000000000002</v>
      </c>
    </row>
    <row r="47" spans="2:6" x14ac:dyDescent="0.2">
      <c r="B47">
        <v>0.1</v>
      </c>
      <c r="C47">
        <v>0.21251999999999999</v>
      </c>
      <c r="D47">
        <v>2.1215000000000002</v>
      </c>
      <c r="E47">
        <v>20.85</v>
      </c>
      <c r="F47">
        <v>6.9553000000000003</v>
      </c>
    </row>
    <row r="48" spans="2:6" x14ac:dyDescent="0.2">
      <c r="B48">
        <v>7.9500000000000001E-2</v>
      </c>
      <c r="C48">
        <v>0.16408</v>
      </c>
      <c r="D48">
        <v>2.0642</v>
      </c>
      <c r="E48">
        <v>20.86</v>
      </c>
      <c r="F48">
        <v>5.3697999999999997</v>
      </c>
    </row>
    <row r="49" spans="2:6" x14ac:dyDescent="0.2">
      <c r="B49">
        <v>6.3100000000000003E-2</v>
      </c>
      <c r="C49">
        <v>0.13564999999999999</v>
      </c>
      <c r="D49">
        <v>2.1488999999999998</v>
      </c>
      <c r="E49">
        <v>20.87</v>
      </c>
      <c r="F49">
        <v>4.4397000000000002</v>
      </c>
    </row>
    <row r="50" spans="2:6" x14ac:dyDescent="0.2">
      <c r="B50">
        <v>5.0200000000000002E-2</v>
      </c>
      <c r="C50">
        <v>0.10458000000000001</v>
      </c>
      <c r="D50">
        <v>2.0847000000000002</v>
      </c>
      <c r="E50">
        <v>20.87</v>
      </c>
      <c r="F50">
        <v>3.4228000000000001</v>
      </c>
    </row>
    <row r="51" spans="2:6" x14ac:dyDescent="0.2">
      <c r="B51">
        <v>3.9800000000000002E-2</v>
      </c>
      <c r="C51">
        <v>8.4717000000000001E-2</v>
      </c>
      <c r="D51">
        <v>2.1259000000000001</v>
      </c>
      <c r="E51">
        <v>20.87</v>
      </c>
      <c r="F51">
        <v>2.7726000000000002</v>
      </c>
    </row>
    <row r="52" spans="2:6" x14ac:dyDescent="0.2">
      <c r="B52">
        <v>3.1699999999999999E-2</v>
      </c>
      <c r="C52">
        <v>6.7498000000000002E-2</v>
      </c>
      <c r="D52">
        <v>2.1324000000000001</v>
      </c>
      <c r="E52">
        <v>20.88</v>
      </c>
      <c r="F52">
        <v>2.2090999999999998</v>
      </c>
    </row>
    <row r="53" spans="2:6" x14ac:dyDescent="0.2">
      <c r="B53">
        <v>2.5100000000000001E-2</v>
      </c>
      <c r="C53">
        <v>5.6415E-2</v>
      </c>
      <c r="D53">
        <v>2.2444000000000002</v>
      </c>
      <c r="E53">
        <v>20.88</v>
      </c>
      <c r="F53">
        <v>1.8463000000000001</v>
      </c>
    </row>
    <row r="54" spans="2:6" x14ac:dyDescent="0.2">
      <c r="B54">
        <v>0.02</v>
      </c>
      <c r="C54">
        <v>4.3912E-2</v>
      </c>
      <c r="D54">
        <v>2.2000999999999999</v>
      </c>
      <c r="E54">
        <v>20.9</v>
      </c>
      <c r="F54">
        <v>1.4372</v>
      </c>
    </row>
    <row r="55" spans="2:6" x14ac:dyDescent="0.2">
      <c r="B55">
        <v>1.5900000000000001E-2</v>
      </c>
      <c r="C55">
        <v>3.8431E-2</v>
      </c>
      <c r="D55">
        <v>2.4144999999999999</v>
      </c>
      <c r="E55">
        <v>20.9</v>
      </c>
      <c r="F55">
        <v>1.2578</v>
      </c>
    </row>
    <row r="56" spans="2:6" x14ac:dyDescent="0.2">
      <c r="B56">
        <v>1.26E-2</v>
      </c>
      <c r="C56">
        <v>2.8014000000000001E-2</v>
      </c>
      <c r="D56">
        <v>2.2231999999999998</v>
      </c>
      <c r="E56">
        <v>20.9</v>
      </c>
      <c r="F56">
        <v>0.91685000000000005</v>
      </c>
    </row>
    <row r="57" spans="2:6" x14ac:dyDescent="0.2">
      <c r="B57">
        <v>0.01</v>
      </c>
      <c r="C57">
        <v>2.2776000000000001E-2</v>
      </c>
      <c r="D57">
        <v>2.2742</v>
      </c>
      <c r="E57">
        <v>20.9</v>
      </c>
      <c r="F57">
        <v>0.74539999999999995</v>
      </c>
    </row>
    <row r="62" spans="2:6" x14ac:dyDescent="0.2">
      <c r="B62" s="3" t="s">
        <v>28</v>
      </c>
    </row>
    <row r="63" spans="2:6" x14ac:dyDescent="0.2">
      <c r="B63" s="3" t="s">
        <v>55</v>
      </c>
    </row>
  </sheetData>
  <mergeCells count="1">
    <mergeCell ref="B2:G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6A9D7-32C9-1446-B494-F454DB7C43DE}">
  <dimension ref="B2:AS63"/>
  <sheetViews>
    <sheetView topLeftCell="AP1" workbookViewId="0">
      <selection activeCell="AS4" sqref="AS4:AS13"/>
    </sheetView>
  </sheetViews>
  <sheetFormatPr baseColWidth="10" defaultRowHeight="16" x14ac:dyDescent="0.2"/>
  <cols>
    <col min="2" max="2" width="26.33203125" customWidth="1"/>
    <col min="9" max="9" width="16.5" bestFit="1" customWidth="1"/>
    <col min="16" max="16" width="11.6640625" bestFit="1" customWidth="1"/>
    <col min="17" max="17" width="13.1640625" bestFit="1" customWidth="1"/>
    <col min="25" max="25" width="11.1640625" bestFit="1" customWidth="1"/>
    <col min="28" max="28" width="16.33203125" customWidth="1"/>
    <col min="31" max="31" width="19.33203125" customWidth="1"/>
    <col min="32" max="32" width="23" bestFit="1" customWidth="1"/>
    <col min="41" max="41" width="23.1640625" bestFit="1" customWidth="1"/>
    <col min="42" max="42" width="36" customWidth="1"/>
    <col min="43" max="43" width="27.83203125" customWidth="1"/>
    <col min="44" max="44" width="21.6640625" bestFit="1" customWidth="1"/>
  </cols>
  <sheetData>
    <row r="2" spans="2:45" x14ac:dyDescent="0.2">
      <c r="B2" s="8" t="s">
        <v>12</v>
      </c>
      <c r="C2" s="8"/>
      <c r="D2" s="8"/>
      <c r="E2" s="8"/>
      <c r="F2" s="8"/>
      <c r="G2" s="8"/>
    </row>
    <row r="3" spans="2:45" x14ac:dyDescent="0.2"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I3" t="s">
        <v>19</v>
      </c>
      <c r="J3" t="s">
        <v>13</v>
      </c>
      <c r="K3" t="s">
        <v>14</v>
      </c>
      <c r="L3" t="s">
        <v>15</v>
      </c>
      <c r="M3" t="s">
        <v>16</v>
      </c>
      <c r="N3" t="s">
        <v>20</v>
      </c>
      <c r="O3" t="s">
        <v>17</v>
      </c>
      <c r="P3" t="s">
        <v>21</v>
      </c>
      <c r="Q3" t="s">
        <v>27</v>
      </c>
      <c r="R3" t="s">
        <v>18</v>
      </c>
      <c r="S3" t="s">
        <v>22</v>
      </c>
      <c r="T3" t="s">
        <v>23</v>
      </c>
      <c r="U3" t="s">
        <v>24</v>
      </c>
      <c r="V3" s="4" t="s">
        <v>25</v>
      </c>
      <c r="W3" s="4" t="s">
        <v>26</v>
      </c>
      <c r="X3" s="4" t="s">
        <v>38</v>
      </c>
      <c r="Y3" s="4" t="s">
        <v>39</v>
      </c>
      <c r="Z3" t="s">
        <v>32</v>
      </c>
      <c r="AA3" t="s">
        <v>33</v>
      </c>
      <c r="AB3" t="s">
        <v>31</v>
      </c>
      <c r="AC3" t="s">
        <v>29</v>
      </c>
      <c r="AD3" t="s">
        <v>30</v>
      </c>
      <c r="AE3" s="4" t="s">
        <v>34</v>
      </c>
      <c r="AF3" t="s">
        <v>35</v>
      </c>
      <c r="AG3" s="4" t="s">
        <v>37</v>
      </c>
      <c r="AH3" s="4" t="s">
        <v>36</v>
      </c>
      <c r="AI3" s="4" t="s">
        <v>40</v>
      </c>
      <c r="AJ3" s="4" t="s">
        <v>41</v>
      </c>
      <c r="AK3" s="4" t="s">
        <v>42</v>
      </c>
      <c r="AL3" t="s">
        <v>45</v>
      </c>
      <c r="AM3" s="4" t="s">
        <v>43</v>
      </c>
      <c r="AN3" s="4" t="s">
        <v>44</v>
      </c>
      <c r="AO3" s="4" t="s">
        <v>57</v>
      </c>
      <c r="AP3" s="4" t="s">
        <v>58</v>
      </c>
      <c r="AQ3" s="4" t="s">
        <v>59</v>
      </c>
      <c r="AR3" s="4" t="s">
        <v>60</v>
      </c>
      <c r="AS3" s="4" t="s">
        <v>61</v>
      </c>
    </row>
    <row r="4" spans="2:45" x14ac:dyDescent="0.2">
      <c r="I4">
        <v>100</v>
      </c>
      <c r="J4">
        <v>105</v>
      </c>
      <c r="K4">
        <v>10</v>
      </c>
      <c r="L4">
        <v>100</v>
      </c>
      <c r="R4">
        <f>M4/0.2567</f>
        <v>0</v>
      </c>
      <c r="S4">
        <f t="shared" ref="S4:U4" si="0">N4/0.2567</f>
        <v>0</v>
      </c>
      <c r="T4">
        <f t="shared" si="0"/>
        <v>0</v>
      </c>
      <c r="U4">
        <f t="shared" si="0"/>
        <v>0</v>
      </c>
      <c r="V4">
        <f>R4/$J$4</f>
        <v>0</v>
      </c>
      <c r="W4">
        <f>S4/$J$4</f>
        <v>0</v>
      </c>
      <c r="X4">
        <f>T4/$J$4</f>
        <v>0</v>
      </c>
      <c r="Y4">
        <f>U4/$J$4</f>
        <v>0</v>
      </c>
      <c r="Z4">
        <f>K4/($I$4/1000*$J$4/1000)/60</f>
        <v>15.873015873015872</v>
      </c>
      <c r="AA4">
        <f>L4/($I$4/1000*$J$4/1000)/60</f>
        <v>158.73015873015871</v>
      </c>
      <c r="AB4">
        <f>Z4/($I$4/1000)</f>
        <v>158.73015873015871</v>
      </c>
      <c r="AC4">
        <f>15/(1+(0.9*AB4)^0.67)</f>
        <v>0.52113495803113086</v>
      </c>
      <c r="AD4">
        <v>0.28999999999999998</v>
      </c>
      <c r="AE4">
        <f>AC4/$AD$4</f>
        <v>1.7970170966590719</v>
      </c>
      <c r="AF4">
        <v>1.63</v>
      </c>
      <c r="AG4">
        <f>AC4*(Z4/1000)/($AF$4/1000)</f>
        <v>5.0748364790255218</v>
      </c>
      <c r="AH4">
        <f>$AD$4*(AA4/1000)/($AF$4/1000)</f>
        <v>28.240334988801241</v>
      </c>
      <c r="AI4">
        <f>K4/L4</f>
        <v>0.1</v>
      </c>
      <c r="AJ4">
        <f>1000*(Z4/1000)*($I$4/10^6)/AC4</f>
        <v>3.0458551337612765E-3</v>
      </c>
      <c r="AK4">
        <f>1000*(AA4/1000)*($I$4/10^6)/$AD$4</f>
        <v>5.4734537493158181E-2</v>
      </c>
      <c r="AL4">
        <v>0.9</v>
      </c>
      <c r="AM4">
        <f>$AL$4*AB4</f>
        <v>142.85714285714283</v>
      </c>
      <c r="AN4">
        <f>AM4/AJ4</f>
        <v>46902.14622280177</v>
      </c>
      <c r="AO4">
        <f>AH4^(-0.6)*AI4^0.57*AM4^0.45</f>
        <v>0.33820807736747266</v>
      </c>
      <c r="AP4">
        <f>AH4^(-0.6)*AI4^0.57</f>
        <v>3.6264199361103477E-2</v>
      </c>
      <c r="AQ4">
        <f>(AI4*AM4/AH4)^0.6</f>
        <v>0.66438415992549094</v>
      </c>
      <c r="AR4">
        <f>(AI4/AH4)^(0.6)*AM4^(0.45)</f>
        <v>0.3156341427674752</v>
      </c>
      <c r="AS4">
        <f>AI4/AH4</f>
        <v>3.5410344827586215E-3</v>
      </c>
    </row>
    <row r="5" spans="2:45" x14ac:dyDescent="0.2">
      <c r="B5" t="s">
        <v>6</v>
      </c>
      <c r="C5" t="s">
        <v>7</v>
      </c>
      <c r="D5" t="s">
        <v>8</v>
      </c>
      <c r="E5" t="s">
        <v>9</v>
      </c>
      <c r="F5" t="s">
        <v>10</v>
      </c>
      <c r="K5">
        <v>5</v>
      </c>
      <c r="L5">
        <v>100</v>
      </c>
      <c r="M5">
        <v>35.5</v>
      </c>
      <c r="N5">
        <v>3.39</v>
      </c>
      <c r="O5">
        <v>28.666699999999999</v>
      </c>
      <c r="P5">
        <v>0.51639800000000002</v>
      </c>
      <c r="Q5">
        <f>34/(250/1000)</f>
        <v>136</v>
      </c>
      <c r="R5">
        <f t="shared" ref="R5:R13" si="1">M5/0.2567</f>
        <v>138.2937280872614</v>
      </c>
      <c r="S5">
        <f t="shared" ref="S5:S13" si="2">N5/0.2567</f>
        <v>13.206077132839892</v>
      </c>
      <c r="T5">
        <f t="shared" ref="T5:T13" si="3">O5/0.2567</f>
        <v>111.67393844955201</v>
      </c>
      <c r="U5">
        <f t="shared" ref="U5:U13" si="4">P5/0.2567</f>
        <v>2.0116790027269187</v>
      </c>
      <c r="V5">
        <f t="shared" ref="V5:Y13" si="5">R5/$J$4</f>
        <v>1.3170831246405847</v>
      </c>
      <c r="W5">
        <f t="shared" si="5"/>
        <v>0.12577216316990375</v>
      </c>
      <c r="X5">
        <f t="shared" si="5"/>
        <v>1.063561318567162</v>
      </c>
      <c r="Y5">
        <f t="shared" si="5"/>
        <v>1.9158847645018275E-2</v>
      </c>
      <c r="Z5">
        <f t="shared" ref="Z5:Z13" si="6">K5/($I$4/1000*$J$4/1000)/60</f>
        <v>7.9365079365079358</v>
      </c>
      <c r="AA5">
        <f t="shared" ref="AA5:AA13" si="7">L5/($I$4/1000*$J$4/1000)/60</f>
        <v>158.73015873015871</v>
      </c>
      <c r="AB5">
        <f t="shared" ref="AB5:AB13" si="8">Z5/($I$4/1000)</f>
        <v>79.365079365079353</v>
      </c>
      <c r="AC5">
        <f t="shared" ref="AC5:AC13" si="9">15/(1+(0.9*AB5)^0.67)</f>
        <v>0.81247927711604384</v>
      </c>
      <c r="AE5">
        <f t="shared" ref="AE5:AE13" si="10">AC5/$AD$4</f>
        <v>2.8016526797104961</v>
      </c>
      <c r="AG5">
        <f t="shared" ref="AG5:AG13" si="11">AC5*(Z5/1000)/($AF$4/1000)</f>
        <v>3.9559805098648546</v>
      </c>
      <c r="AH5">
        <f t="shared" ref="AH5:AH13" si="12">$AD$4*(AA5/1000)/($AF$4/1000)</f>
        <v>28.240334988801241</v>
      </c>
      <c r="AI5">
        <f t="shared" ref="AI5:AI13" si="13">K5/L5</f>
        <v>0.05</v>
      </c>
      <c r="AJ5">
        <f t="shared" ref="AJ5:AJ13" si="14">1000*(Z5/1000)*($I$4/10^6)/AC5</f>
        <v>9.7682589083123036E-4</v>
      </c>
      <c r="AK5">
        <f t="shared" ref="AK5:AK13" si="15">1000*(AA5/1000)*($I$4/10^6)/$AD$4</f>
        <v>5.4734537493158181E-2</v>
      </c>
      <c r="AM5">
        <f t="shared" ref="AM5:AM13" si="16">$AL$4*AB5</f>
        <v>71.428571428571416</v>
      </c>
      <c r="AN5">
        <f t="shared" ref="AN5:AN13" si="17">AM5/AJ5</f>
        <v>73123.134940443939</v>
      </c>
      <c r="AO5">
        <f t="shared" ref="AO5:AO13" si="18">AH5^(-0.6)*AI5^0.57*AM5^0.45</f>
        <v>0.16677593341181093</v>
      </c>
      <c r="AP5">
        <f t="shared" ref="AP5:AP13" si="19">AH5^(-0.6)*AI5^0.57</f>
        <v>2.4428173508714957E-2</v>
      </c>
      <c r="AQ5">
        <f t="shared" ref="AQ5:AQ13" si="20">(AI5*AM5/AH5)^0.6</f>
        <v>0.28919000233407921</v>
      </c>
      <c r="AR5">
        <f t="shared" ref="AR5:AR13" si="21">(AI5/AH5)^(0.6)*AM5^(0.45)</f>
        <v>0.15244124257407782</v>
      </c>
      <c r="AS5">
        <f t="shared" ref="AS5:AS13" si="22">AI5/AH5</f>
        <v>1.7705172413793107E-3</v>
      </c>
    </row>
    <row r="6" spans="2:45" x14ac:dyDescent="0.2">
      <c r="B6" s="5" t="s">
        <v>48</v>
      </c>
      <c r="C6" t="s">
        <v>49</v>
      </c>
      <c r="D6" t="s">
        <v>50</v>
      </c>
      <c r="E6" t="s">
        <v>51</v>
      </c>
      <c r="F6" t="s">
        <v>52</v>
      </c>
      <c r="K6">
        <v>5</v>
      </c>
      <c r="L6">
        <v>20</v>
      </c>
      <c r="M6">
        <v>70.164500000000004</v>
      </c>
      <c r="N6">
        <v>5.3079999999999998</v>
      </c>
      <c r="O6">
        <v>58.120800000000003</v>
      </c>
      <c r="P6">
        <v>9.9332999999999991</v>
      </c>
      <c r="Q6">
        <f>12/(250/500)</f>
        <v>24</v>
      </c>
      <c r="R6">
        <f t="shared" si="1"/>
        <v>273.33268406700432</v>
      </c>
      <c r="S6">
        <f t="shared" si="2"/>
        <v>20.677834047526297</v>
      </c>
      <c r="T6">
        <f t="shared" si="3"/>
        <v>226.41527074405923</v>
      </c>
      <c r="U6">
        <f t="shared" si="4"/>
        <v>38.69614335800545</v>
      </c>
      <c r="V6">
        <f t="shared" si="5"/>
        <v>2.6031684196857556</v>
      </c>
      <c r="W6">
        <f t="shared" si="5"/>
        <v>0.19693175283358377</v>
      </c>
      <c r="X6">
        <f t="shared" si="5"/>
        <v>2.1563359118481831</v>
      </c>
      <c r="Y6">
        <f t="shared" si="5"/>
        <v>0.36853469864767097</v>
      </c>
      <c r="Z6">
        <f t="shared" si="6"/>
        <v>7.9365079365079358</v>
      </c>
      <c r="AA6">
        <f t="shared" si="7"/>
        <v>31.746031746031743</v>
      </c>
      <c r="AB6">
        <f t="shared" si="8"/>
        <v>79.365079365079353</v>
      </c>
      <c r="AC6">
        <f t="shared" si="9"/>
        <v>0.81247927711604384</v>
      </c>
      <c r="AE6">
        <f t="shared" si="10"/>
        <v>2.8016526797104961</v>
      </c>
      <c r="AG6">
        <f t="shared" si="11"/>
        <v>3.9559805098648546</v>
      </c>
      <c r="AH6">
        <f t="shared" si="12"/>
        <v>5.6480669977602496</v>
      </c>
      <c r="AI6">
        <f t="shared" si="13"/>
        <v>0.25</v>
      </c>
      <c r="AJ6">
        <f t="shared" si="14"/>
        <v>9.7682589083123036E-4</v>
      </c>
      <c r="AK6">
        <f t="shared" si="15"/>
        <v>1.0946907498631636E-2</v>
      </c>
      <c r="AM6">
        <f t="shared" si="16"/>
        <v>71.428571428571416</v>
      </c>
      <c r="AN6">
        <f t="shared" si="17"/>
        <v>73123.134940443939</v>
      </c>
      <c r="AO6">
        <f t="shared" si="18"/>
        <v>1.0962971499309357</v>
      </c>
      <c r="AP6">
        <f t="shared" si="19"/>
        <v>0.16057794699607431</v>
      </c>
      <c r="AQ6">
        <f t="shared" si="20"/>
        <v>1.9950201200918345</v>
      </c>
      <c r="AR6">
        <f t="shared" si="21"/>
        <v>1.0516385200472964</v>
      </c>
      <c r="AS6">
        <f t="shared" si="22"/>
        <v>4.4262931034482755E-2</v>
      </c>
    </row>
    <row r="7" spans="2:45" x14ac:dyDescent="0.2">
      <c r="B7">
        <v>1000</v>
      </c>
      <c r="C7">
        <v>95.56</v>
      </c>
      <c r="D7">
        <v>9.5516000000000004E-2</v>
      </c>
      <c r="E7">
        <v>20.86</v>
      </c>
      <c r="F7">
        <v>3127.5</v>
      </c>
      <c r="K7">
        <v>5</v>
      </c>
      <c r="L7">
        <v>30</v>
      </c>
      <c r="M7">
        <v>47.023200000000003</v>
      </c>
      <c r="N7">
        <v>2.0503</v>
      </c>
      <c r="O7">
        <v>43.2866</v>
      </c>
      <c r="P7">
        <v>2.1025</v>
      </c>
      <c r="Q7">
        <f>24/(250/500)</f>
        <v>48</v>
      </c>
      <c r="R7">
        <f t="shared" si="1"/>
        <v>183.18348266458904</v>
      </c>
      <c r="S7">
        <f t="shared" si="2"/>
        <v>7.9871445266848466</v>
      </c>
      <c r="T7">
        <f t="shared" si="3"/>
        <v>168.62719127386055</v>
      </c>
      <c r="U7">
        <f t="shared" si="4"/>
        <v>8.1904947409427358</v>
      </c>
      <c r="V7">
        <f t="shared" si="5"/>
        <v>1.7446045968056099</v>
      </c>
      <c r="W7">
        <f t="shared" si="5"/>
        <v>7.6068043111284248E-2</v>
      </c>
      <c r="X7">
        <f t="shared" si="5"/>
        <v>1.6059732502272432</v>
      </c>
      <c r="Y7">
        <f t="shared" si="5"/>
        <v>7.8004711818502243E-2</v>
      </c>
      <c r="Z7">
        <f t="shared" si="6"/>
        <v>7.9365079365079358</v>
      </c>
      <c r="AA7">
        <f t="shared" si="7"/>
        <v>47.619047619047613</v>
      </c>
      <c r="AB7">
        <f t="shared" si="8"/>
        <v>79.365079365079353</v>
      </c>
      <c r="AC7">
        <f t="shared" si="9"/>
        <v>0.81247927711604384</v>
      </c>
      <c r="AE7">
        <f t="shared" si="10"/>
        <v>2.8016526797104961</v>
      </c>
      <c r="AG7">
        <f t="shared" si="11"/>
        <v>3.9559805098648546</v>
      </c>
      <c r="AH7">
        <f t="shared" si="12"/>
        <v>8.4721004966403726</v>
      </c>
      <c r="AI7">
        <f t="shared" si="13"/>
        <v>0.16666666666666666</v>
      </c>
      <c r="AJ7">
        <f t="shared" si="14"/>
        <v>9.7682589083123036E-4</v>
      </c>
      <c r="AK7">
        <f t="shared" si="15"/>
        <v>1.6420361247947456E-2</v>
      </c>
      <c r="AM7">
        <f t="shared" si="16"/>
        <v>71.428571428571416</v>
      </c>
      <c r="AN7">
        <f t="shared" si="17"/>
        <v>73123.134940443939</v>
      </c>
      <c r="AO7">
        <f t="shared" si="18"/>
        <v>0.68218397291549959</v>
      </c>
      <c r="AP7">
        <f t="shared" si="19"/>
        <v>9.9921542121401571E-2</v>
      </c>
      <c r="AQ7">
        <f t="shared" si="20"/>
        <v>1.2264158908679381</v>
      </c>
      <c r="AR7">
        <f t="shared" si="21"/>
        <v>0.64648279956969845</v>
      </c>
      <c r="AS7">
        <f t="shared" si="22"/>
        <v>1.9672413793103451E-2</v>
      </c>
    </row>
    <row r="8" spans="2:45" x14ac:dyDescent="0.2">
      <c r="B8">
        <v>792</v>
      </c>
      <c r="C8">
        <v>90.870999999999995</v>
      </c>
      <c r="D8">
        <v>0.11479</v>
      </c>
      <c r="E8">
        <v>20.86</v>
      </c>
      <c r="F8">
        <v>2974</v>
      </c>
      <c r="K8">
        <v>5</v>
      </c>
      <c r="L8">
        <v>40</v>
      </c>
      <c r="M8">
        <v>33.8795</v>
      </c>
      <c r="N8">
        <v>2.8805000000000001</v>
      </c>
      <c r="O8">
        <v>31.642399999999999</v>
      </c>
      <c r="P8">
        <v>2.5455000000000001</v>
      </c>
      <c r="Q8">
        <f>32/(250/500)</f>
        <v>64</v>
      </c>
      <c r="R8">
        <f t="shared" si="1"/>
        <v>131.98091156992598</v>
      </c>
      <c r="S8">
        <f t="shared" si="2"/>
        <v>11.221269964939619</v>
      </c>
      <c r="T8">
        <f t="shared" si="3"/>
        <v>123.26606934164394</v>
      </c>
      <c r="U8">
        <f t="shared" si="4"/>
        <v>9.9162446435527869</v>
      </c>
      <c r="V8">
        <f t="shared" si="5"/>
        <v>1.2569610625707237</v>
      </c>
      <c r="W8">
        <f t="shared" si="5"/>
        <v>0.10686923776132971</v>
      </c>
      <c r="X8">
        <f t="shared" si="5"/>
        <v>1.1739625651585137</v>
      </c>
      <c r="Y8">
        <f t="shared" si="5"/>
        <v>9.444042517669321E-2</v>
      </c>
      <c r="Z8">
        <f t="shared" si="6"/>
        <v>7.9365079365079358</v>
      </c>
      <c r="AA8">
        <f t="shared" si="7"/>
        <v>63.492063492063487</v>
      </c>
      <c r="AB8">
        <f t="shared" si="8"/>
        <v>79.365079365079353</v>
      </c>
      <c r="AC8">
        <f t="shared" si="9"/>
        <v>0.81247927711604384</v>
      </c>
      <c r="AE8">
        <f t="shared" si="10"/>
        <v>2.8016526797104961</v>
      </c>
      <c r="AG8">
        <f t="shared" si="11"/>
        <v>3.9559805098648546</v>
      </c>
      <c r="AH8">
        <f t="shared" si="12"/>
        <v>11.296133995520499</v>
      </c>
      <c r="AI8">
        <f t="shared" si="13"/>
        <v>0.125</v>
      </c>
      <c r="AJ8">
        <f t="shared" si="14"/>
        <v>9.7682589083123036E-4</v>
      </c>
      <c r="AK8">
        <f t="shared" si="15"/>
        <v>2.1893814997263273E-2</v>
      </c>
      <c r="AM8">
        <f t="shared" si="16"/>
        <v>71.428571428571416</v>
      </c>
      <c r="AN8">
        <f t="shared" si="17"/>
        <v>73123.134940443939</v>
      </c>
      <c r="AO8">
        <f t="shared" si="18"/>
        <v>0.48721784904994131</v>
      </c>
      <c r="AP8">
        <f t="shared" si="19"/>
        <v>7.1364266472107057E-2</v>
      </c>
      <c r="AQ8">
        <f t="shared" si="20"/>
        <v>0.86838294466652388</v>
      </c>
      <c r="AR8">
        <f t="shared" si="21"/>
        <v>0.45775225300553812</v>
      </c>
      <c r="AS8">
        <f t="shared" si="22"/>
        <v>1.1065732758620689E-2</v>
      </c>
    </row>
    <row r="9" spans="2:45" x14ac:dyDescent="0.2">
      <c r="B9">
        <v>629</v>
      </c>
      <c r="C9">
        <v>86.358000000000004</v>
      </c>
      <c r="D9">
        <v>0.13730000000000001</v>
      </c>
      <c r="E9">
        <v>20.86</v>
      </c>
      <c r="F9">
        <v>2826.3</v>
      </c>
      <c r="K9">
        <v>5</v>
      </c>
      <c r="L9">
        <v>50</v>
      </c>
      <c r="M9">
        <v>34.588700000000003</v>
      </c>
      <c r="N9">
        <v>0.1469</v>
      </c>
      <c r="O9">
        <v>32.322299999999998</v>
      </c>
      <c r="P9">
        <v>0.40789999999999998</v>
      </c>
      <c r="Q9">
        <f>51/(250/500)</f>
        <v>102</v>
      </c>
      <c r="R9">
        <f t="shared" si="1"/>
        <v>134.74366965329179</v>
      </c>
      <c r="S9">
        <f t="shared" si="2"/>
        <v>0.57226334242306198</v>
      </c>
      <c r="T9">
        <f t="shared" si="3"/>
        <v>125.91468640436307</v>
      </c>
      <c r="U9">
        <f t="shared" si="4"/>
        <v>1.5890144137125048</v>
      </c>
      <c r="V9">
        <f t="shared" si="5"/>
        <v>1.2832730443170646</v>
      </c>
      <c r="W9">
        <f t="shared" si="5"/>
        <v>5.4501270706958285E-3</v>
      </c>
      <c r="X9">
        <f t="shared" si="5"/>
        <v>1.1991874895653625</v>
      </c>
      <c r="Y9">
        <f t="shared" si="5"/>
        <v>1.513347060678576E-2</v>
      </c>
      <c r="Z9">
        <f t="shared" si="6"/>
        <v>7.9365079365079358</v>
      </c>
      <c r="AA9">
        <f t="shared" si="7"/>
        <v>79.365079365079353</v>
      </c>
      <c r="AB9">
        <f t="shared" si="8"/>
        <v>79.365079365079353</v>
      </c>
      <c r="AC9">
        <f t="shared" si="9"/>
        <v>0.81247927711604384</v>
      </c>
      <c r="AE9">
        <f t="shared" si="10"/>
        <v>2.8016526797104961</v>
      </c>
      <c r="AG9">
        <f t="shared" si="11"/>
        <v>3.9559805098648546</v>
      </c>
      <c r="AH9">
        <f t="shared" si="12"/>
        <v>14.12016749440062</v>
      </c>
      <c r="AI9">
        <f t="shared" si="13"/>
        <v>0.1</v>
      </c>
      <c r="AJ9">
        <f t="shared" si="14"/>
        <v>9.7682589083123036E-4</v>
      </c>
      <c r="AK9">
        <f t="shared" si="15"/>
        <v>2.736726874657909E-2</v>
      </c>
      <c r="AM9">
        <f t="shared" si="16"/>
        <v>71.428571428571416</v>
      </c>
      <c r="AN9">
        <f t="shared" si="17"/>
        <v>73123.134940443939</v>
      </c>
      <c r="AO9">
        <f t="shared" si="18"/>
        <v>0.37526535785370752</v>
      </c>
      <c r="AP9">
        <f t="shared" si="19"/>
        <v>5.4966247742860325E-2</v>
      </c>
      <c r="AQ9">
        <f t="shared" si="20"/>
        <v>0.66438415992549094</v>
      </c>
      <c r="AR9">
        <f t="shared" si="21"/>
        <v>0.35021800915709439</v>
      </c>
      <c r="AS9">
        <f t="shared" si="22"/>
        <v>7.0820689655172429E-3</v>
      </c>
    </row>
    <row r="10" spans="2:45" x14ac:dyDescent="0.2">
      <c r="B10">
        <v>500</v>
      </c>
      <c r="C10">
        <v>82.144000000000005</v>
      </c>
      <c r="D10">
        <v>0.16436999999999999</v>
      </c>
      <c r="E10">
        <v>20.87</v>
      </c>
      <c r="F10">
        <v>2688.4</v>
      </c>
      <c r="K10">
        <v>5</v>
      </c>
      <c r="L10">
        <v>60</v>
      </c>
      <c r="M10">
        <v>35.899700000000003</v>
      </c>
      <c r="N10">
        <v>2.4449000000000001</v>
      </c>
      <c r="O10">
        <v>33.5</v>
      </c>
      <c r="P10">
        <v>2.5121000000000002</v>
      </c>
      <c r="Q10">
        <f>28/(250/1000)</f>
        <v>112</v>
      </c>
      <c r="R10">
        <f t="shared" si="1"/>
        <v>139.85079859758474</v>
      </c>
      <c r="S10">
        <f t="shared" si="2"/>
        <v>9.5243474873393072</v>
      </c>
      <c r="T10">
        <f t="shared" si="3"/>
        <v>130.50253213868331</v>
      </c>
      <c r="U10">
        <f t="shared" si="4"/>
        <v>9.7861316712115318</v>
      </c>
      <c r="V10">
        <f t="shared" si="5"/>
        <v>1.3319123675960451</v>
      </c>
      <c r="W10">
        <f t="shared" si="5"/>
        <v>9.0708071307993396E-2</v>
      </c>
      <c r="X10">
        <f t="shared" si="5"/>
        <v>1.2428812584636506</v>
      </c>
      <c r="Y10">
        <f t="shared" si="5"/>
        <v>9.3201254011538393E-2</v>
      </c>
      <c r="Z10">
        <f t="shared" si="6"/>
        <v>7.9365079365079358</v>
      </c>
      <c r="AA10">
        <f t="shared" si="7"/>
        <v>95.238095238095227</v>
      </c>
      <c r="AB10">
        <f t="shared" si="8"/>
        <v>79.365079365079353</v>
      </c>
      <c r="AC10">
        <f t="shared" si="9"/>
        <v>0.81247927711604384</v>
      </c>
      <c r="AE10">
        <f t="shared" si="10"/>
        <v>2.8016526797104961</v>
      </c>
      <c r="AG10">
        <f t="shared" si="11"/>
        <v>3.9559805098648546</v>
      </c>
      <c r="AH10">
        <f t="shared" si="12"/>
        <v>16.944200993280745</v>
      </c>
      <c r="AI10">
        <f t="shared" si="13"/>
        <v>8.3333333333333329E-2</v>
      </c>
      <c r="AJ10">
        <f t="shared" si="14"/>
        <v>9.7682589083123036E-4</v>
      </c>
      <c r="AK10">
        <f t="shared" si="15"/>
        <v>3.2840722495894911E-2</v>
      </c>
      <c r="AM10">
        <f t="shared" si="16"/>
        <v>71.428571428571416</v>
      </c>
      <c r="AN10">
        <f t="shared" si="17"/>
        <v>73123.134940443939</v>
      </c>
      <c r="AO10">
        <f t="shared" si="18"/>
        <v>0.30317711576753775</v>
      </c>
      <c r="AP10">
        <f t="shared" si="19"/>
        <v>4.440726570274247E-2</v>
      </c>
      <c r="AQ10">
        <f t="shared" si="20"/>
        <v>0.53382852231520073</v>
      </c>
      <c r="AR10">
        <f t="shared" si="21"/>
        <v>0.28139798266332816</v>
      </c>
      <c r="AS10">
        <f t="shared" si="22"/>
        <v>4.9181034482758627E-3</v>
      </c>
    </row>
    <row r="11" spans="2:45" x14ac:dyDescent="0.2">
      <c r="B11">
        <v>397</v>
      </c>
      <c r="C11">
        <v>78.14</v>
      </c>
      <c r="D11">
        <v>0.1968</v>
      </c>
      <c r="E11">
        <v>20.87</v>
      </c>
      <c r="F11">
        <v>2557.4</v>
      </c>
      <c r="K11">
        <v>5</v>
      </c>
      <c r="L11">
        <v>70</v>
      </c>
      <c r="M11">
        <v>36.97</v>
      </c>
      <c r="N11">
        <v>0.1091</v>
      </c>
      <c r="O11">
        <v>33.675600000000003</v>
      </c>
      <c r="P11">
        <v>0.77480000000000004</v>
      </c>
      <c r="Q11">
        <f>52/(250/1000)</f>
        <v>208</v>
      </c>
      <c r="R11">
        <f t="shared" si="1"/>
        <v>144.02025710946631</v>
      </c>
      <c r="S11">
        <f t="shared" si="2"/>
        <v>0.42500973899493577</v>
      </c>
      <c r="T11">
        <f t="shared" si="3"/>
        <v>131.18659914296848</v>
      </c>
      <c r="U11">
        <f t="shared" si="4"/>
        <v>3.0183093104791587</v>
      </c>
      <c r="V11">
        <f t="shared" si="5"/>
        <v>1.3716214962806315</v>
      </c>
      <c r="W11">
        <f t="shared" si="5"/>
        <v>4.0477117999517696E-3</v>
      </c>
      <c r="X11">
        <f t="shared" si="5"/>
        <v>1.2493961823139854</v>
      </c>
      <c r="Y11">
        <f t="shared" si="5"/>
        <v>2.8745802956944368E-2</v>
      </c>
      <c r="Z11">
        <f t="shared" si="6"/>
        <v>7.9365079365079358</v>
      </c>
      <c r="AA11">
        <f t="shared" si="7"/>
        <v>111.1111111111111</v>
      </c>
      <c r="AB11">
        <f t="shared" si="8"/>
        <v>79.365079365079353</v>
      </c>
      <c r="AC11">
        <f t="shared" si="9"/>
        <v>0.81247927711604384</v>
      </c>
      <c r="AE11">
        <f t="shared" si="10"/>
        <v>2.8016526797104961</v>
      </c>
      <c r="AG11">
        <f t="shared" si="11"/>
        <v>3.9559805098648546</v>
      </c>
      <c r="AH11">
        <f t="shared" si="12"/>
        <v>19.768234492160872</v>
      </c>
      <c r="AI11">
        <f t="shared" si="13"/>
        <v>7.1428571428571425E-2</v>
      </c>
      <c r="AJ11">
        <f t="shared" si="14"/>
        <v>9.7682589083123036E-4</v>
      </c>
      <c r="AK11">
        <f t="shared" si="15"/>
        <v>3.8314176245210725E-2</v>
      </c>
      <c r="AM11">
        <f t="shared" si="16"/>
        <v>71.428571428571416</v>
      </c>
      <c r="AN11">
        <f t="shared" si="17"/>
        <v>73123.134940443939</v>
      </c>
      <c r="AO11">
        <f t="shared" si="18"/>
        <v>0.253144603255262</v>
      </c>
      <c r="AP11">
        <f t="shared" si="19"/>
        <v>3.7078852833309424E-2</v>
      </c>
      <c r="AQ11">
        <f t="shared" si="20"/>
        <v>0.44367568322324663</v>
      </c>
      <c r="AR11">
        <f t="shared" si="21"/>
        <v>0.23387555553293879</v>
      </c>
      <c r="AS11">
        <f t="shared" si="22"/>
        <v>3.6133004926108374E-3</v>
      </c>
    </row>
    <row r="12" spans="2:45" x14ac:dyDescent="0.2">
      <c r="B12">
        <v>315</v>
      </c>
      <c r="C12">
        <v>74.316999999999993</v>
      </c>
      <c r="D12">
        <v>0.23558999999999999</v>
      </c>
      <c r="E12">
        <v>20.87</v>
      </c>
      <c r="F12">
        <v>2432.1999999999998</v>
      </c>
      <c r="K12">
        <v>5</v>
      </c>
      <c r="L12">
        <v>80</v>
      </c>
      <c r="M12">
        <v>38.332999999999998</v>
      </c>
      <c r="N12">
        <v>2.7302499999999998</v>
      </c>
      <c r="O12">
        <v>31.666699999999999</v>
      </c>
      <c r="P12">
        <v>2.3380899999999998</v>
      </c>
      <c r="Q12">
        <f>26/(250/1000)</f>
        <v>104</v>
      </c>
      <c r="R12">
        <f t="shared" si="1"/>
        <v>149.3299571484223</v>
      </c>
      <c r="S12">
        <f t="shared" si="2"/>
        <v>10.635956369302688</v>
      </c>
      <c r="T12">
        <f t="shared" si="3"/>
        <v>123.36073237241916</v>
      </c>
      <c r="U12">
        <f t="shared" si="4"/>
        <v>9.108258667705492</v>
      </c>
      <c r="V12">
        <f t="shared" si="5"/>
        <v>1.4221900680802124</v>
      </c>
      <c r="W12">
        <f t="shared" si="5"/>
        <v>0.1012948225647875</v>
      </c>
      <c r="X12">
        <f t="shared" si="5"/>
        <v>1.1748641178325634</v>
      </c>
      <c r="Y12">
        <f t="shared" si="5"/>
        <v>8.6745320644814203E-2</v>
      </c>
      <c r="Z12">
        <f t="shared" si="6"/>
        <v>7.9365079365079358</v>
      </c>
      <c r="AA12">
        <f t="shared" si="7"/>
        <v>126.98412698412697</v>
      </c>
      <c r="AB12">
        <f t="shared" si="8"/>
        <v>79.365079365079353</v>
      </c>
      <c r="AC12">
        <f t="shared" si="9"/>
        <v>0.81247927711604384</v>
      </c>
      <c r="AE12">
        <f t="shared" si="10"/>
        <v>2.8016526797104961</v>
      </c>
      <c r="AG12">
        <f t="shared" si="11"/>
        <v>3.9559805098648546</v>
      </c>
      <c r="AH12">
        <f t="shared" si="12"/>
        <v>22.592267991040998</v>
      </c>
      <c r="AI12">
        <f t="shared" si="13"/>
        <v>6.25E-2</v>
      </c>
      <c r="AJ12">
        <f t="shared" si="14"/>
        <v>9.7682589083123036E-4</v>
      </c>
      <c r="AK12">
        <f t="shared" si="15"/>
        <v>4.3787629994526546E-2</v>
      </c>
      <c r="AM12">
        <f t="shared" si="16"/>
        <v>71.428571428571416</v>
      </c>
      <c r="AN12">
        <f t="shared" si="17"/>
        <v>73123.134940443939</v>
      </c>
      <c r="AO12">
        <f t="shared" si="18"/>
        <v>0.21653000963087948</v>
      </c>
      <c r="AP12">
        <f t="shared" si="19"/>
        <v>3.1715802975276597E-2</v>
      </c>
      <c r="AQ12">
        <f t="shared" si="20"/>
        <v>0.37798563081809466</v>
      </c>
      <c r="AR12">
        <f t="shared" si="21"/>
        <v>0.19924824085202056</v>
      </c>
      <c r="AS12">
        <f t="shared" si="22"/>
        <v>2.7664331896551722E-3</v>
      </c>
    </row>
    <row r="13" spans="2:45" x14ac:dyDescent="0.2">
      <c r="B13">
        <v>251</v>
      </c>
      <c r="C13">
        <v>70.632999999999996</v>
      </c>
      <c r="D13">
        <v>0.28182000000000001</v>
      </c>
      <c r="E13">
        <v>20.87</v>
      </c>
      <c r="F13">
        <v>2311.6999999999998</v>
      </c>
      <c r="K13">
        <v>5</v>
      </c>
      <c r="L13">
        <v>90</v>
      </c>
      <c r="M13">
        <v>25.2</v>
      </c>
      <c r="N13">
        <v>1.3038400000000001</v>
      </c>
      <c r="O13">
        <v>24.2</v>
      </c>
      <c r="P13">
        <v>1.7888539999999999</v>
      </c>
      <c r="Q13">
        <f>45/(250/1000)</f>
        <v>180</v>
      </c>
      <c r="R13">
        <f t="shared" si="1"/>
        <v>98.169068952084146</v>
      </c>
      <c r="S13">
        <f t="shared" si="2"/>
        <v>5.0792364627970397</v>
      </c>
      <c r="T13">
        <f t="shared" si="3"/>
        <v>94.2734709777951</v>
      </c>
      <c r="U13">
        <f t="shared" si="4"/>
        <v>6.9686560186988702</v>
      </c>
      <c r="V13">
        <f t="shared" si="5"/>
        <v>0.9349435138293728</v>
      </c>
      <c r="W13">
        <f t="shared" si="5"/>
        <v>4.8373680598067043E-2</v>
      </c>
      <c r="X13">
        <f t="shared" si="5"/>
        <v>0.89784258074090573</v>
      </c>
      <c r="Y13">
        <f t="shared" si="5"/>
        <v>6.6368152559036858E-2</v>
      </c>
      <c r="Z13">
        <f t="shared" si="6"/>
        <v>7.9365079365079358</v>
      </c>
      <c r="AA13">
        <f t="shared" si="7"/>
        <v>142.85714285714283</v>
      </c>
      <c r="AB13">
        <f t="shared" si="8"/>
        <v>79.365079365079353</v>
      </c>
      <c r="AC13">
        <f t="shared" si="9"/>
        <v>0.81247927711604384</v>
      </c>
      <c r="AE13">
        <f t="shared" si="10"/>
        <v>2.8016526797104961</v>
      </c>
      <c r="AG13">
        <f t="shared" si="11"/>
        <v>3.9559805098648546</v>
      </c>
      <c r="AH13">
        <f t="shared" si="12"/>
        <v>25.416301489921118</v>
      </c>
      <c r="AI13">
        <f t="shared" si="13"/>
        <v>5.5555555555555552E-2</v>
      </c>
      <c r="AJ13">
        <f t="shared" si="14"/>
        <v>9.7682589083123036E-4</v>
      </c>
      <c r="AK13">
        <f t="shared" si="15"/>
        <v>4.926108374384236E-2</v>
      </c>
      <c r="AM13">
        <f t="shared" si="16"/>
        <v>71.428571428571416</v>
      </c>
      <c r="AN13">
        <f t="shared" si="17"/>
        <v>73123.134940443939</v>
      </c>
      <c r="AO13">
        <f t="shared" si="18"/>
        <v>0.18865557512795744</v>
      </c>
      <c r="AP13">
        <f t="shared" si="19"/>
        <v>2.7632950560274205E-2</v>
      </c>
      <c r="AQ13">
        <f t="shared" si="20"/>
        <v>0.32816500253429776</v>
      </c>
      <c r="AR13">
        <f t="shared" si="21"/>
        <v>0.17298620405923534</v>
      </c>
      <c r="AS13">
        <f t="shared" si="22"/>
        <v>2.1858237547892722E-3</v>
      </c>
    </row>
    <row r="14" spans="2:45" x14ac:dyDescent="0.2">
      <c r="B14">
        <v>199</v>
      </c>
      <c r="C14">
        <v>67.072000000000003</v>
      </c>
      <c r="D14">
        <v>0.33683000000000002</v>
      </c>
      <c r="E14">
        <v>20.87</v>
      </c>
      <c r="F14">
        <v>2195.1</v>
      </c>
    </row>
    <row r="15" spans="2:45" x14ac:dyDescent="0.2">
      <c r="B15">
        <v>158</v>
      </c>
      <c r="C15">
        <v>63.704999999999998</v>
      </c>
      <c r="D15">
        <v>0.40266999999999997</v>
      </c>
      <c r="E15">
        <v>20.87</v>
      </c>
      <c r="F15">
        <v>2084.9</v>
      </c>
    </row>
    <row r="16" spans="2:45" x14ac:dyDescent="0.2">
      <c r="B16">
        <v>126</v>
      </c>
      <c r="C16">
        <v>60.366</v>
      </c>
      <c r="D16">
        <v>0.48026000000000002</v>
      </c>
      <c r="E16">
        <v>20.87</v>
      </c>
      <c r="F16">
        <v>1975.7</v>
      </c>
    </row>
    <row r="17" spans="2:6" x14ac:dyDescent="0.2">
      <c r="B17">
        <v>99.9</v>
      </c>
      <c r="C17">
        <v>57.084000000000003</v>
      </c>
      <c r="D17">
        <v>0.57162999999999997</v>
      </c>
      <c r="E17">
        <v>20.88</v>
      </c>
      <c r="F17">
        <v>1868.2</v>
      </c>
    </row>
    <row r="18" spans="2:6" x14ac:dyDescent="0.2">
      <c r="B18">
        <v>79.3</v>
      </c>
      <c r="C18">
        <v>53.935000000000002</v>
      </c>
      <c r="D18">
        <v>0.67979999999999996</v>
      </c>
      <c r="E18">
        <v>20.88</v>
      </c>
      <c r="F18">
        <v>1765.2</v>
      </c>
    </row>
    <row r="19" spans="2:6" x14ac:dyDescent="0.2">
      <c r="B19">
        <v>63</v>
      </c>
      <c r="C19">
        <v>50.83</v>
      </c>
      <c r="D19">
        <v>0.80642999999999998</v>
      </c>
      <c r="E19">
        <v>20.88</v>
      </c>
      <c r="F19">
        <v>1663.6</v>
      </c>
    </row>
    <row r="20" spans="2:6" x14ac:dyDescent="0.2">
      <c r="B20">
        <v>50.1</v>
      </c>
      <c r="C20">
        <v>47.744999999999997</v>
      </c>
      <c r="D20">
        <v>0.95338999999999996</v>
      </c>
      <c r="E20">
        <v>20.88</v>
      </c>
      <c r="F20">
        <v>1562.6</v>
      </c>
    </row>
    <row r="21" spans="2:6" x14ac:dyDescent="0.2">
      <c r="B21">
        <v>39.799999999999997</v>
      </c>
      <c r="C21">
        <v>44.685000000000002</v>
      </c>
      <c r="D21">
        <v>1.1231</v>
      </c>
      <c r="E21">
        <v>20.88</v>
      </c>
      <c r="F21">
        <v>1462.4</v>
      </c>
    </row>
    <row r="22" spans="2:6" x14ac:dyDescent="0.2">
      <c r="B22">
        <v>31.6</v>
      </c>
      <c r="C22">
        <v>41.64</v>
      </c>
      <c r="D22">
        <v>1.3170999999999999</v>
      </c>
      <c r="E22">
        <v>20.89</v>
      </c>
      <c r="F22">
        <v>1362.8</v>
      </c>
    </row>
    <row r="23" spans="2:6" x14ac:dyDescent="0.2">
      <c r="B23">
        <v>25.1</v>
      </c>
      <c r="C23">
        <v>38.69</v>
      </c>
      <c r="D23">
        <v>1.5404</v>
      </c>
      <c r="E23">
        <v>20.89</v>
      </c>
      <c r="F23">
        <v>1266.2</v>
      </c>
    </row>
    <row r="24" spans="2:6" x14ac:dyDescent="0.2">
      <c r="B24">
        <v>20</v>
      </c>
      <c r="C24">
        <v>35.805</v>
      </c>
      <c r="D24">
        <v>1.7947</v>
      </c>
      <c r="E24">
        <v>20.89</v>
      </c>
      <c r="F24">
        <v>1171.8</v>
      </c>
    </row>
    <row r="25" spans="2:6" x14ac:dyDescent="0.2">
      <c r="B25">
        <v>15.9</v>
      </c>
      <c r="C25">
        <v>32.987000000000002</v>
      </c>
      <c r="D25">
        <v>2.0811000000000002</v>
      </c>
      <c r="E25">
        <v>20.89</v>
      </c>
      <c r="F25">
        <v>1079.5999999999999</v>
      </c>
    </row>
    <row r="26" spans="2:6" x14ac:dyDescent="0.2">
      <c r="B26">
        <v>12.6</v>
      </c>
      <c r="C26">
        <v>30.238</v>
      </c>
      <c r="D26">
        <v>2.4013</v>
      </c>
      <c r="E26">
        <v>20.89</v>
      </c>
      <c r="F26">
        <v>989.63</v>
      </c>
    </row>
    <row r="27" spans="2:6" x14ac:dyDescent="0.2">
      <c r="B27">
        <v>10</v>
      </c>
      <c r="C27">
        <v>27.571000000000002</v>
      </c>
      <c r="D27">
        <v>2.7568000000000001</v>
      </c>
      <c r="E27">
        <v>20.9</v>
      </c>
      <c r="F27">
        <v>902.33</v>
      </c>
    </row>
    <row r="28" spans="2:6" x14ac:dyDescent="0.2">
      <c r="B28">
        <v>7.94</v>
      </c>
      <c r="C28">
        <v>24.995000000000001</v>
      </c>
      <c r="D28">
        <v>3.1459999999999999</v>
      </c>
      <c r="E28">
        <v>20.9</v>
      </c>
      <c r="F28">
        <v>818.03</v>
      </c>
    </row>
    <row r="29" spans="2:6" x14ac:dyDescent="0.2">
      <c r="B29">
        <v>6.31</v>
      </c>
      <c r="C29">
        <v>22.527000000000001</v>
      </c>
      <c r="D29">
        <v>3.5686</v>
      </c>
      <c r="E29">
        <v>20.9</v>
      </c>
      <c r="F29">
        <v>737.27</v>
      </c>
    </row>
    <row r="30" spans="2:6" x14ac:dyDescent="0.2">
      <c r="B30">
        <v>5.01</v>
      </c>
      <c r="C30">
        <v>19.974</v>
      </c>
      <c r="D30">
        <v>3.9839000000000002</v>
      </c>
      <c r="E30">
        <v>20.9</v>
      </c>
      <c r="F30">
        <v>653.69000000000005</v>
      </c>
    </row>
    <row r="31" spans="2:6" x14ac:dyDescent="0.2">
      <c r="B31">
        <v>3.98</v>
      </c>
      <c r="C31">
        <v>17.713000000000001</v>
      </c>
      <c r="D31">
        <v>4.4480000000000004</v>
      </c>
      <c r="E31">
        <v>20.9</v>
      </c>
      <c r="F31">
        <v>579.70000000000005</v>
      </c>
    </row>
    <row r="32" spans="2:6" x14ac:dyDescent="0.2">
      <c r="B32">
        <v>3.16</v>
      </c>
      <c r="C32">
        <v>15.616</v>
      </c>
      <c r="D32">
        <v>4.9385000000000003</v>
      </c>
      <c r="E32">
        <v>20.9</v>
      </c>
      <c r="F32">
        <v>511.09</v>
      </c>
    </row>
    <row r="33" spans="2:6" x14ac:dyDescent="0.2">
      <c r="B33">
        <v>2.5099999999999998</v>
      </c>
      <c r="C33">
        <v>13.891999999999999</v>
      </c>
      <c r="D33">
        <v>5.5303000000000004</v>
      </c>
      <c r="E33">
        <v>20.91</v>
      </c>
      <c r="F33">
        <v>454.67</v>
      </c>
    </row>
    <row r="34" spans="2:6" x14ac:dyDescent="0.2">
      <c r="B34">
        <v>2</v>
      </c>
      <c r="C34">
        <v>12.12</v>
      </c>
      <c r="D34">
        <v>6.0731999999999999</v>
      </c>
      <c r="E34">
        <v>20.91</v>
      </c>
      <c r="F34">
        <v>396.66</v>
      </c>
    </row>
    <row r="35" spans="2:6" x14ac:dyDescent="0.2">
      <c r="B35">
        <v>1.59</v>
      </c>
      <c r="C35">
        <v>10.500999999999999</v>
      </c>
      <c r="D35">
        <v>6.6249000000000002</v>
      </c>
      <c r="E35">
        <v>20.91</v>
      </c>
      <c r="F35">
        <v>343.68</v>
      </c>
    </row>
    <row r="36" spans="2:6" x14ac:dyDescent="0.2">
      <c r="B36">
        <v>1.26</v>
      </c>
      <c r="C36">
        <v>9.0332000000000008</v>
      </c>
      <c r="D36">
        <v>7.1727999999999996</v>
      </c>
      <c r="E36">
        <v>20.91</v>
      </c>
      <c r="F36">
        <v>295.64</v>
      </c>
    </row>
    <row r="37" spans="2:6" x14ac:dyDescent="0.2">
      <c r="B37">
        <v>1</v>
      </c>
      <c r="C37">
        <v>7.7298</v>
      </c>
      <c r="D37">
        <v>7.7279</v>
      </c>
      <c r="E37">
        <v>20.92</v>
      </c>
      <c r="F37">
        <v>252.98</v>
      </c>
    </row>
    <row r="38" spans="2:6" x14ac:dyDescent="0.2">
      <c r="B38">
        <v>0.79500000000000004</v>
      </c>
      <c r="C38">
        <v>6.5761000000000003</v>
      </c>
      <c r="D38">
        <v>8.2764000000000006</v>
      </c>
      <c r="E38">
        <v>20.92</v>
      </c>
      <c r="F38">
        <v>215.22</v>
      </c>
    </row>
    <row r="39" spans="2:6" x14ac:dyDescent="0.2">
      <c r="B39">
        <v>0.63100000000000001</v>
      </c>
      <c r="C39">
        <v>5.5669000000000004</v>
      </c>
      <c r="D39">
        <v>8.8190000000000008</v>
      </c>
      <c r="E39">
        <v>20.92</v>
      </c>
      <c r="F39">
        <v>182.19</v>
      </c>
    </row>
    <row r="40" spans="2:6" x14ac:dyDescent="0.2">
      <c r="B40">
        <v>0.501</v>
      </c>
      <c r="C40">
        <v>4.6810999999999998</v>
      </c>
      <c r="D40">
        <v>9.3377999999999997</v>
      </c>
      <c r="E40">
        <v>20.92</v>
      </c>
      <c r="F40">
        <v>153.19999999999999</v>
      </c>
    </row>
    <row r="41" spans="2:6" x14ac:dyDescent="0.2">
      <c r="B41">
        <v>0.39800000000000002</v>
      </c>
      <c r="C41">
        <v>3.9152999999999998</v>
      </c>
      <c r="D41">
        <v>9.8320000000000007</v>
      </c>
      <c r="E41">
        <v>20.92</v>
      </c>
      <c r="F41">
        <v>128.13999999999999</v>
      </c>
    </row>
    <row r="42" spans="2:6" x14ac:dyDescent="0.2">
      <c r="B42">
        <v>0.317</v>
      </c>
      <c r="C42">
        <v>3.2744</v>
      </c>
      <c r="D42">
        <v>10.337</v>
      </c>
      <c r="E42">
        <v>20.92</v>
      </c>
      <c r="F42">
        <v>107.17</v>
      </c>
    </row>
    <row r="43" spans="2:6" x14ac:dyDescent="0.2">
      <c r="B43">
        <v>0.252</v>
      </c>
      <c r="C43">
        <v>2.7191000000000001</v>
      </c>
      <c r="D43">
        <v>10.807</v>
      </c>
      <c r="E43">
        <v>20.93</v>
      </c>
      <c r="F43">
        <v>88.99</v>
      </c>
    </row>
    <row r="44" spans="2:6" x14ac:dyDescent="0.2">
      <c r="B44">
        <v>0.2</v>
      </c>
      <c r="C44">
        <v>2.2564000000000002</v>
      </c>
      <c r="D44">
        <v>11.288</v>
      </c>
      <c r="E44">
        <v>20.93</v>
      </c>
      <c r="F44">
        <v>73.846000000000004</v>
      </c>
    </row>
    <row r="45" spans="2:6" x14ac:dyDescent="0.2">
      <c r="B45">
        <v>0.159</v>
      </c>
      <c r="C45">
        <v>1.8120000000000001</v>
      </c>
      <c r="D45">
        <v>11.426</v>
      </c>
      <c r="E45">
        <v>20.94</v>
      </c>
      <c r="F45">
        <v>59.302</v>
      </c>
    </row>
    <row r="46" spans="2:6" x14ac:dyDescent="0.2">
      <c r="B46">
        <v>0.126</v>
      </c>
      <c r="C46">
        <v>1.4881</v>
      </c>
      <c r="D46">
        <v>11.813000000000001</v>
      </c>
      <c r="E46">
        <v>20.94</v>
      </c>
      <c r="F46">
        <v>48.701999999999998</v>
      </c>
    </row>
    <row r="47" spans="2:6" x14ac:dyDescent="0.2">
      <c r="B47">
        <v>0.1</v>
      </c>
      <c r="C47">
        <v>1.2470000000000001</v>
      </c>
      <c r="D47">
        <v>12.45</v>
      </c>
      <c r="E47">
        <v>20.94</v>
      </c>
      <c r="F47">
        <v>40.811999999999998</v>
      </c>
    </row>
    <row r="48" spans="2:6" x14ac:dyDescent="0.2">
      <c r="B48">
        <v>7.9600000000000004E-2</v>
      </c>
      <c r="C48">
        <v>1.0388999999999999</v>
      </c>
      <c r="D48">
        <v>13.058</v>
      </c>
      <c r="E48">
        <v>20.94</v>
      </c>
      <c r="F48">
        <v>34.002000000000002</v>
      </c>
    </row>
    <row r="49" spans="2:6" x14ac:dyDescent="0.2">
      <c r="B49">
        <v>6.3200000000000006E-2</v>
      </c>
      <c r="C49">
        <v>0.84648000000000001</v>
      </c>
      <c r="D49">
        <v>13.393000000000001</v>
      </c>
      <c r="E49">
        <v>20.95</v>
      </c>
      <c r="F49">
        <v>27.704000000000001</v>
      </c>
    </row>
    <row r="50" spans="2:6" x14ac:dyDescent="0.2">
      <c r="B50">
        <v>5.0200000000000002E-2</v>
      </c>
      <c r="C50">
        <v>0.67764000000000002</v>
      </c>
      <c r="D50">
        <v>13.507</v>
      </c>
      <c r="E50">
        <v>20.95</v>
      </c>
      <c r="F50">
        <v>22.177</v>
      </c>
    </row>
    <row r="51" spans="2:6" x14ac:dyDescent="0.2">
      <c r="B51">
        <v>3.9899999999999998E-2</v>
      </c>
      <c r="C51">
        <v>0.54498999999999997</v>
      </c>
      <c r="D51">
        <v>13.672000000000001</v>
      </c>
      <c r="E51">
        <v>20.95</v>
      </c>
      <c r="F51">
        <v>17.835999999999999</v>
      </c>
    </row>
    <row r="52" spans="2:6" x14ac:dyDescent="0.2">
      <c r="B52">
        <v>3.1600000000000003E-2</v>
      </c>
      <c r="C52">
        <v>0.42614999999999997</v>
      </c>
      <c r="D52">
        <v>13.467000000000001</v>
      </c>
      <c r="E52">
        <v>20.96</v>
      </c>
      <c r="F52">
        <v>13.946999999999999</v>
      </c>
    </row>
    <row r="53" spans="2:6" x14ac:dyDescent="0.2">
      <c r="B53">
        <v>2.5100000000000001E-2</v>
      </c>
      <c r="C53">
        <v>0.33643000000000001</v>
      </c>
      <c r="D53">
        <v>13.387</v>
      </c>
      <c r="E53">
        <v>20.96</v>
      </c>
      <c r="F53">
        <v>11.010999999999999</v>
      </c>
    </row>
    <row r="54" spans="2:6" x14ac:dyDescent="0.2">
      <c r="B54">
        <v>0.02</v>
      </c>
      <c r="C54">
        <v>0.29380000000000001</v>
      </c>
      <c r="D54">
        <v>14.7</v>
      </c>
      <c r="E54">
        <v>20.96</v>
      </c>
      <c r="F54">
        <v>9.6156000000000006</v>
      </c>
    </row>
    <row r="55" spans="2:6" x14ac:dyDescent="0.2">
      <c r="B55">
        <v>1.5900000000000001E-2</v>
      </c>
      <c r="C55">
        <v>0.22020000000000001</v>
      </c>
      <c r="D55">
        <v>13.882999999999999</v>
      </c>
      <c r="E55">
        <v>20.97</v>
      </c>
      <c r="F55">
        <v>7.2065000000000001</v>
      </c>
    </row>
    <row r="56" spans="2:6" x14ac:dyDescent="0.2">
      <c r="B56">
        <v>1.26E-2</v>
      </c>
      <c r="C56">
        <v>0.19162000000000001</v>
      </c>
      <c r="D56">
        <v>15.2</v>
      </c>
      <c r="E56">
        <v>20.97</v>
      </c>
      <c r="F56">
        <v>6.2713999999999999</v>
      </c>
    </row>
    <row r="57" spans="2:6" x14ac:dyDescent="0.2">
      <c r="B57">
        <v>0.01</v>
      </c>
      <c r="C57">
        <v>0.15157999999999999</v>
      </c>
      <c r="D57">
        <v>15.148</v>
      </c>
      <c r="E57">
        <v>20.97</v>
      </c>
      <c r="F57">
        <v>4.9607999999999999</v>
      </c>
    </row>
    <row r="62" spans="2:6" x14ac:dyDescent="0.2">
      <c r="B62" s="3" t="s">
        <v>28</v>
      </c>
    </row>
    <row r="63" spans="2:6" x14ac:dyDescent="0.2">
      <c r="B63" s="3" t="s">
        <v>56</v>
      </c>
    </row>
  </sheetData>
  <mergeCells count="1">
    <mergeCell ref="B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Water</vt:lpstr>
      <vt:lpstr>HA0pt01</vt:lpstr>
      <vt:lpstr>HA0pt0178</vt:lpstr>
      <vt:lpstr>HA0pt0316</vt:lpstr>
      <vt:lpstr>HA0pt1</vt:lpstr>
      <vt:lpstr>HA0pt178</vt:lpstr>
      <vt:lpstr>HA0pt316</vt:lpstr>
      <vt:lpstr>HA0pt562</vt:lpstr>
      <vt:lpstr>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Del Giudice</dc:creator>
  <cp:lastModifiedBy>Francesco Del Giudice</cp:lastModifiedBy>
  <dcterms:created xsi:type="dcterms:W3CDTF">2024-06-04T09:46:28Z</dcterms:created>
  <dcterms:modified xsi:type="dcterms:W3CDTF">2024-07-22T11:28:08Z</dcterms:modified>
</cp:coreProperties>
</file>