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 Chavarrio\Dropbox\GUERBET COUPLING PAPER\"/>
    </mc:Choice>
  </mc:AlternateContent>
  <xr:revisionPtr revIDLastSave="0" documentId="13_ncr:1_{10CF48B2-2FDD-47BB-8232-7580EC0DD889}" xr6:coauthVersionLast="47" xr6:coauthVersionMax="47" xr10:uidLastSave="{00000000-0000-0000-0000-000000000000}"/>
  <bookViews>
    <workbookView xWindow="-108" yWindow="-108" windowWidth="23256" windowHeight="12456" xr2:uid="{F711D3A6-5640-46F1-B181-0A569B40E719}"/>
  </bookViews>
  <sheets>
    <sheet name="Summary" sheetId="5" r:id="rId1"/>
    <sheet name="Raw data Cofeed Experiments" sheetId="1" r:id="rId2"/>
    <sheet name="Raw data Control Experiments" sheetId="4" r:id="rId3"/>
    <sheet name="Control Model" sheetId="6" r:id="rId4"/>
    <sheet name="Cofeed Model" sheetId="7" r:id="rId5"/>
    <sheet name="Matrix of Reactions" sheetId="8" r:id="rId6"/>
    <sheet name="Thermochemistry" sheetId="9" r:id="rId7"/>
  </sheets>
  <definedNames>
    <definedName name="_xlnm._FilterDatabase" localSheetId="2" hidden="1">'Raw data Control Experiments'!$B$18:$P$75</definedName>
    <definedName name="pkgname">#REF!</definedName>
    <definedName name="UnitSe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9" l="1"/>
  <c r="L16" i="9"/>
  <c r="M16" i="9"/>
  <c r="N16" i="9"/>
  <c r="J16" i="9"/>
  <c r="K22" i="9"/>
  <c r="L22" i="9"/>
  <c r="M22" i="9"/>
  <c r="N22" i="9"/>
  <c r="J22" i="9"/>
  <c r="K32" i="9"/>
  <c r="L32" i="9"/>
  <c r="M32" i="9"/>
  <c r="N32" i="9"/>
  <c r="J32" i="9"/>
  <c r="K30" i="9"/>
  <c r="L30" i="9"/>
  <c r="M30" i="9"/>
  <c r="N30" i="9"/>
  <c r="J30" i="9"/>
  <c r="K26" i="9"/>
  <c r="L26" i="9"/>
  <c r="M26" i="9"/>
  <c r="N26" i="9"/>
  <c r="J26" i="9"/>
  <c r="K20" i="9"/>
  <c r="L20" i="9"/>
  <c r="M20" i="9"/>
  <c r="N20" i="9"/>
  <c r="J20" i="9"/>
  <c r="K14" i="9"/>
  <c r="L14" i="9"/>
  <c r="M14" i="9"/>
  <c r="N14" i="9"/>
  <c r="J14" i="9"/>
  <c r="K36" i="9"/>
  <c r="L36" i="9"/>
  <c r="M36" i="9"/>
  <c r="N36" i="9"/>
  <c r="J36" i="9"/>
  <c r="K49" i="9"/>
  <c r="L49" i="9"/>
  <c r="M49" i="9"/>
  <c r="N49" i="9"/>
  <c r="J49" i="9"/>
  <c r="AS26" i="8"/>
  <c r="K38" i="9"/>
  <c r="L38" i="9"/>
  <c r="M38" i="9"/>
  <c r="N38" i="9"/>
  <c r="J38" i="9"/>
  <c r="K41" i="9"/>
  <c r="L41" i="9"/>
  <c r="M41" i="9"/>
  <c r="N41" i="9"/>
  <c r="J41" i="9"/>
  <c r="K34" i="9"/>
  <c r="L34" i="9"/>
  <c r="M34" i="9"/>
  <c r="N34" i="9"/>
  <c r="J34" i="9"/>
  <c r="K46" i="9"/>
  <c r="L46" i="9"/>
  <c r="M46" i="9"/>
  <c r="N46" i="9"/>
  <c r="J46" i="9"/>
  <c r="K18" i="9"/>
  <c r="L18" i="9"/>
  <c r="M18" i="9"/>
  <c r="N18" i="9"/>
  <c r="J18" i="9"/>
  <c r="AS17" i="8"/>
  <c r="AS18" i="8"/>
  <c r="A3" i="7"/>
  <c r="B2" i="7" a="1"/>
  <c r="B2" i="7" s="1"/>
  <c r="B2" i="6" a="1"/>
  <c r="B2" i="6" s="1"/>
  <c r="W50" i="9"/>
  <c r="U50" i="9" a="1"/>
  <c r="U50" i="9" s="1"/>
  <c r="C50" i="9"/>
  <c r="W48" i="9"/>
  <c r="U48" i="9" a="1"/>
  <c r="C48" i="9"/>
  <c r="W47" i="9"/>
  <c r="U47" i="9" a="1"/>
  <c r="C47" i="9"/>
  <c r="W45" i="9"/>
  <c r="U45" i="9" a="1"/>
  <c r="U45" i="9" s="1"/>
  <c r="C45" i="9"/>
  <c r="W43" i="9"/>
  <c r="U43" i="9" a="1"/>
  <c r="U43" i="9" s="1"/>
  <c r="C43" i="9"/>
  <c r="W42" i="9"/>
  <c r="U42" i="9" a="1"/>
  <c r="U42" i="9" s="1"/>
  <c r="C42" i="9"/>
  <c r="W40" i="9"/>
  <c r="U40" i="9" a="1"/>
  <c r="U40" i="9" s="1"/>
  <c r="C40" i="9"/>
  <c r="W39" i="9"/>
  <c r="U39" i="9" a="1"/>
  <c r="U39" i="9" s="1"/>
  <c r="C39" i="9"/>
  <c r="W37" i="9"/>
  <c r="U37" i="9" a="1"/>
  <c r="U37" i="9" s="1"/>
  <c r="C37" i="9"/>
  <c r="W35" i="9"/>
  <c r="U35" i="9" a="1"/>
  <c r="C35" i="9"/>
  <c r="W33" i="9"/>
  <c r="U33" i="9" a="1"/>
  <c r="U33" i="9" s="1"/>
  <c r="C33" i="9"/>
  <c r="W31" i="9"/>
  <c r="U31" i="9" a="1"/>
  <c r="U31" i="9" s="1"/>
  <c r="C31" i="9"/>
  <c r="W29" i="9"/>
  <c r="U29" i="9" a="1"/>
  <c r="U29" i="9" s="1"/>
  <c r="C29" i="9"/>
  <c r="G28" i="9"/>
  <c r="I28" i="9" s="1"/>
  <c r="C28" i="9"/>
  <c r="W27" i="9"/>
  <c r="U27" i="9" a="1"/>
  <c r="U27" i="9" s="1"/>
  <c r="C27" i="9"/>
  <c r="G26" i="9"/>
  <c r="I26" i="9" s="1"/>
  <c r="C26" i="9"/>
  <c r="W25" i="9"/>
  <c r="U25" i="9" a="1"/>
  <c r="U25" i="9" s="1"/>
  <c r="C25" i="9"/>
  <c r="W24" i="9"/>
  <c r="I24" i="9"/>
  <c r="C24" i="9"/>
  <c r="W23" i="9"/>
  <c r="U23" i="9" a="1"/>
  <c r="U23" i="9" s="1"/>
  <c r="C23" i="9"/>
  <c r="G22" i="9"/>
  <c r="C22" i="9"/>
  <c r="W21" i="9"/>
  <c r="U21" i="9" a="1"/>
  <c r="U21" i="9" s="1"/>
  <c r="C21" i="9"/>
  <c r="W19" i="9"/>
  <c r="U19" i="9" a="1"/>
  <c r="U19" i="9" s="1"/>
  <c r="C19" i="9"/>
  <c r="W17" i="9"/>
  <c r="U17" i="9" a="1"/>
  <c r="U17" i="9" s="1"/>
  <c r="C17" i="9"/>
  <c r="W15" i="9"/>
  <c r="U15" i="9" a="1"/>
  <c r="U15" i="9" s="1"/>
  <c r="C15" i="9"/>
  <c r="I14" i="9"/>
  <c r="W13" i="9"/>
  <c r="U13" i="9" a="1"/>
  <c r="U13" i="9" s="1"/>
  <c r="C13" i="9"/>
  <c r="I12" i="9"/>
  <c r="C12" i="9"/>
  <c r="W11" i="9"/>
  <c r="U11" i="9" a="1"/>
  <c r="U11" i="9" s="1"/>
  <c r="C11" i="9"/>
  <c r="I10" i="9"/>
  <c r="C10" i="9"/>
  <c r="W9" i="9"/>
  <c r="U9" i="9" a="1"/>
  <c r="U9" i="9" s="1"/>
  <c r="C9" i="9"/>
  <c r="P6" i="9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AU51" i="8"/>
  <c r="AU50" i="8"/>
  <c r="AU49" i="8"/>
  <c r="AU48" i="8"/>
  <c r="AT48" i="8"/>
  <c r="AT47" i="8" s="1"/>
  <c r="AR48" i="8"/>
  <c r="AU47" i="8"/>
  <c r="AR47" i="8"/>
  <c r="AU46" i="8"/>
  <c r="AS46" i="8"/>
  <c r="AR46" i="8"/>
  <c r="AT46" i="8" s="1"/>
  <c r="AU45" i="8"/>
  <c r="AU44" i="8"/>
  <c r="AR44" i="8"/>
  <c r="AT44" i="8" s="1"/>
  <c r="AU43" i="8"/>
  <c r="AT43" i="8"/>
  <c r="AR43" i="8"/>
  <c r="AU42" i="8"/>
  <c r="AR42" i="8"/>
  <c r="AT42" i="8" s="1"/>
  <c r="AU41" i="8"/>
  <c r="AR41" i="8"/>
  <c r="AU40" i="8"/>
  <c r="AR40" i="8"/>
  <c r="AU39" i="8"/>
  <c r="AU38" i="8"/>
  <c r="AU37" i="8"/>
  <c r="AU36" i="8"/>
  <c r="AU35" i="8"/>
  <c r="AU34" i="8"/>
  <c r="AS34" i="8"/>
  <c r="AU33" i="8"/>
  <c r="AS33" i="8"/>
  <c r="AU32" i="8"/>
  <c r="AS32" i="8"/>
  <c r="AU31" i="8"/>
  <c r="AS31" i="8"/>
  <c r="AU30" i="8"/>
  <c r="AU29" i="8"/>
  <c r="AU28" i="8"/>
  <c r="AS28" i="8"/>
  <c r="AU27" i="8"/>
  <c r="AS27" i="8"/>
  <c r="AU26" i="8"/>
  <c r="AU25" i="8"/>
  <c r="AS25" i="8"/>
  <c r="AU24" i="8"/>
  <c r="AS24" i="8"/>
  <c r="AU23" i="8"/>
  <c r="AS23" i="8"/>
  <c r="AU22" i="8"/>
  <c r="AS22" i="8"/>
  <c r="AU21" i="8"/>
  <c r="AS21" i="8"/>
  <c r="AU20" i="8"/>
  <c r="AS20" i="8"/>
  <c r="AU19" i="8"/>
  <c r="AS19" i="8"/>
  <c r="AU18" i="8"/>
  <c r="AU17" i="8"/>
  <c r="AU16" i="8"/>
  <c r="AS16" i="8"/>
  <c r="AU15" i="8"/>
  <c r="AS15" i="8"/>
  <c r="AU14" i="8"/>
  <c r="AS14" i="8"/>
  <c r="AU13" i="8"/>
  <c r="AS13" i="8"/>
  <c r="AU12" i="8"/>
  <c r="AS12" i="8"/>
  <c r="Q25" i="9" l="1"/>
  <c r="Q19" i="9"/>
  <c r="Q40" i="9"/>
  <c r="X9" i="8"/>
  <c r="Q31" i="9"/>
  <c r="P40" i="9"/>
  <c r="P45" i="9"/>
  <c r="AM9" i="8"/>
  <c r="P19" i="9"/>
  <c r="Q29" i="9"/>
  <c r="P39" i="9"/>
  <c r="P25" i="9"/>
  <c r="P27" i="9"/>
  <c r="P42" i="9"/>
  <c r="P31" i="9"/>
  <c r="M9" i="8"/>
  <c r="P29" i="9"/>
  <c r="P37" i="9"/>
  <c r="N9" i="8"/>
  <c r="Y9" i="8"/>
  <c r="W9" i="8"/>
  <c r="Q23" i="9"/>
  <c r="P23" i="9"/>
  <c r="Q15" i="9"/>
  <c r="P15" i="9"/>
  <c r="Q21" i="9"/>
  <c r="P21" i="9"/>
  <c r="Q9" i="9"/>
  <c r="P9" i="9"/>
  <c r="Q11" i="9"/>
  <c r="P11" i="9"/>
  <c r="AH53" i="8"/>
  <c r="Q13" i="9"/>
  <c r="P13" i="9"/>
  <c r="U48" i="9"/>
  <c r="Q48" i="9" s="1"/>
  <c r="AM53" i="8"/>
  <c r="I53" i="8"/>
  <c r="J9" i="8"/>
  <c r="S9" i="8"/>
  <c r="AR45" i="8"/>
  <c r="AT45" i="8" s="1"/>
  <c r="K53" i="8"/>
  <c r="S53" i="8"/>
  <c r="AA53" i="8"/>
  <c r="AI53" i="8"/>
  <c r="Q27" i="9"/>
  <c r="Q39" i="9"/>
  <c r="Q45" i="9"/>
  <c r="U47" i="9"/>
  <c r="P47" i="9" s="1"/>
  <c r="U35" i="9"/>
  <c r="P35" i="9" s="1"/>
  <c r="AK9" i="8"/>
  <c r="Q53" i="8"/>
  <c r="J53" i="8"/>
  <c r="K9" i="8"/>
  <c r="V9" i="8"/>
  <c r="D53" i="8"/>
  <c r="L53" i="8"/>
  <c r="AJ53" i="8"/>
  <c r="P17" i="9"/>
  <c r="Q37" i="9"/>
  <c r="P43" i="9"/>
  <c r="P50" i="9"/>
  <c r="Q35" i="9"/>
  <c r="W53" i="8"/>
  <c r="AE53" i="8"/>
  <c r="P33" i="9"/>
  <c r="O9" i="8"/>
  <c r="Z9" i="8"/>
  <c r="AT41" i="8"/>
  <c r="H53" i="8"/>
  <c r="X53" i="8"/>
  <c r="AF53" i="8"/>
  <c r="Q33" i="9"/>
  <c r="Q9" i="8"/>
  <c r="Y53" i="8"/>
  <c r="I9" i="8"/>
  <c r="R53" i="8"/>
  <c r="L9" i="8"/>
  <c r="AT40" i="8"/>
  <c r="E53" i="8"/>
  <c r="U53" i="8"/>
  <c r="AC53" i="8"/>
  <c r="Q17" i="9"/>
  <c r="Q43" i="9"/>
  <c r="Q50" i="9"/>
  <c r="Q42" i="9"/>
  <c r="P48" i="9" l="1"/>
  <c r="Q47" i="9"/>
  <c r="M53" i="8"/>
  <c r="Z53" i="8"/>
  <c r="C53" i="8"/>
  <c r="AL53" i="8"/>
  <c r="AD53" i="8"/>
  <c r="V53" i="8"/>
  <c r="N53" i="8"/>
  <c r="F53" i="8"/>
  <c r="O53" i="8"/>
  <c r="AB53" i="8"/>
  <c r="P53" i="8"/>
  <c r="G53" i="8"/>
  <c r="T53" i="8"/>
  <c r="AG53" i="8"/>
  <c r="AK53" i="8"/>
  <c r="A3" i="6" l="1"/>
  <c r="S5" i="5"/>
  <c r="S6" i="5"/>
  <c r="S14" i="5"/>
  <c r="S13" i="5"/>
  <c r="S12" i="5"/>
  <c r="X6" i="5"/>
  <c r="S11" i="5"/>
  <c r="S10" i="5"/>
  <c r="S9" i="5"/>
  <c r="S8" i="5"/>
  <c r="S7" i="5"/>
  <c r="P6" i="5"/>
  <c r="R6" i="5"/>
  <c r="R5" i="5"/>
  <c r="S3" i="5"/>
  <c r="A1" i="6"/>
  <c r="R13" i="5"/>
  <c r="R14" i="5"/>
  <c r="R7" i="5"/>
  <c r="R8" i="5"/>
  <c r="R9" i="5"/>
  <c r="R10" i="5"/>
  <c r="R11" i="5"/>
  <c r="R12" i="5"/>
  <c r="R4" i="5"/>
  <c r="L3" i="5"/>
  <c r="K3" i="5"/>
  <c r="Q4" i="5" a="1"/>
  <c r="Q4" i="5" s="1"/>
  <c r="R3" i="5"/>
  <c r="P3" i="5"/>
  <c r="O4" i="5" a="1"/>
  <c r="O4" i="5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" i="5"/>
  <c r="G4" i="4"/>
  <c r="J7" i="4" a="1"/>
  <c r="J7" i="4" s="1"/>
  <c r="J13" i="4" a="1"/>
  <c r="J13" i="4" s="1"/>
  <c r="J10" i="4" a="1"/>
  <c r="J10" i="4" s="1"/>
  <c r="J16" i="4" a="1"/>
  <c r="J16" i="4" s="1"/>
  <c r="P8" i="5" s="1"/>
  <c r="J4" i="4"/>
  <c r="J2" i="4" s="1"/>
  <c r="O7" i="4" a="1"/>
  <c r="O7" i="4" s="1"/>
  <c r="O11" i="4" a="1"/>
  <c r="O11" i="4" s="1"/>
  <c r="O12" i="4" a="1"/>
  <c r="O12" i="4" s="1"/>
  <c r="O13" i="4" a="1"/>
  <c r="O13" i="4" s="1"/>
  <c r="M12" i="4" a="1"/>
  <c r="M12" i="4" s="1"/>
  <c r="K6" i="4"/>
  <c r="K9" i="4" a="1"/>
  <c r="K9" i="4" s="1"/>
  <c r="K16" i="4" a="1"/>
  <c r="K16" i="4" s="1"/>
  <c r="P9" i="5" s="1"/>
  <c r="G7" i="4" a="1"/>
  <c r="G7" i="4" s="1"/>
  <c r="G12" i="4" a="1"/>
  <c r="G12" i="4" s="1"/>
  <c r="H9" i="4" a="1"/>
  <c r="H9" i="4" s="1"/>
  <c r="G11" i="4" a="1"/>
  <c r="G11" i="4" s="1"/>
  <c r="G2" i="4"/>
  <c r="N12" i="4" a="1"/>
  <c r="N12" i="4" s="1"/>
  <c r="I4" i="4"/>
  <c r="I2" i="4" s="1"/>
  <c r="K4" i="4"/>
  <c r="K2" i="4" s="1"/>
  <c r="L4" i="4"/>
  <c r="L2" i="4" s="1"/>
  <c r="M4" i="4"/>
  <c r="M2" i="4" s="1"/>
  <c r="N4" i="4"/>
  <c r="N2" i="4" s="1"/>
  <c r="O4" i="4"/>
  <c r="O2" i="4" s="1"/>
  <c r="P4" i="4"/>
  <c r="P2" i="4" s="1"/>
  <c r="H4" i="4"/>
  <c r="H2" i="4" s="1"/>
  <c r="F16" i="4" a="1"/>
  <c r="F16" i="4" s="1"/>
  <c r="P4" i="5" s="1"/>
  <c r="H13" i="4" a="1"/>
  <c r="H13" i="4" s="1"/>
  <c r="F13" i="4" a="1"/>
  <c r="F13" i="4" s="1"/>
  <c r="F12" i="4" a="1"/>
  <c r="F12" i="4" s="1"/>
  <c r="F11" i="4" a="1"/>
  <c r="F11" i="4" s="1"/>
  <c r="F10" i="4" a="1"/>
  <c r="F10" i="4" s="1"/>
  <c r="F9" i="4" a="1"/>
  <c r="F9" i="4" s="1"/>
  <c r="F8" i="4" a="1"/>
  <c r="F8" i="4" s="1"/>
  <c r="K7" i="4" a="1"/>
  <c r="K7" i="4" s="1"/>
  <c r="F7" i="4" a="1"/>
  <c r="F7" i="4" s="1"/>
  <c r="F6" i="4"/>
  <c r="G16" i="1" a="1"/>
  <c r="G16" i="1" s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F16" i="1" a="1"/>
  <c r="F16" i="1" s="1"/>
  <c r="F7" i="1" a="1"/>
  <c r="F7" i="1" s="1"/>
  <c r="S4" i="5" l="1"/>
  <c r="K12" i="5"/>
  <c r="K7" i="5"/>
  <c r="K6" i="5"/>
  <c r="K15" i="5"/>
  <c r="K8" i="5"/>
  <c r="K16" i="5"/>
  <c r="K24" i="5"/>
  <c r="K32" i="5"/>
  <c r="K30" i="5"/>
  <c r="K31" i="5"/>
  <c r="K9" i="5"/>
  <c r="K17" i="5"/>
  <c r="K25" i="5"/>
  <c r="K33" i="5"/>
  <c r="K4" i="5"/>
  <c r="K19" i="5"/>
  <c r="K35" i="5"/>
  <c r="K20" i="5"/>
  <c r="K36" i="5"/>
  <c r="K13" i="5"/>
  <c r="K29" i="5"/>
  <c r="K22" i="5"/>
  <c r="K23" i="5"/>
  <c r="K10" i="5"/>
  <c r="K18" i="5"/>
  <c r="K26" i="5"/>
  <c r="K34" i="5"/>
  <c r="K11" i="5"/>
  <c r="K27" i="5"/>
  <c r="K28" i="5"/>
  <c r="K5" i="5"/>
  <c r="K21" i="5"/>
  <c r="K37" i="5"/>
  <c r="K14" i="5"/>
  <c r="K38" i="5"/>
  <c r="K39" i="5"/>
  <c r="J9" i="4" a="1"/>
  <c r="J9" i="4" s="1"/>
  <c r="J12" i="4" a="1"/>
  <c r="J12" i="4" s="1"/>
  <c r="J8" i="4" a="1"/>
  <c r="J8" i="4" s="1"/>
  <c r="J6" i="4"/>
  <c r="J11" i="4" a="1"/>
  <c r="J11" i="4" s="1"/>
  <c r="O9" i="4" a="1"/>
  <c r="O9" i="4" s="1"/>
  <c r="O8" i="4" a="1"/>
  <c r="O8" i="4" s="1"/>
  <c r="O6" i="4"/>
  <c r="O10" i="4" a="1"/>
  <c r="O10" i="4" s="1"/>
  <c r="O16" i="4" a="1"/>
  <c r="O16" i="4" s="1"/>
  <c r="P13" i="5" s="1"/>
  <c r="M7" i="4" a="1"/>
  <c r="M7" i="4" s="1"/>
  <c r="M9" i="4" a="1"/>
  <c r="M9" i="4" s="1"/>
  <c r="M13" i="4" a="1"/>
  <c r="M13" i="4" s="1"/>
  <c r="M16" i="4" a="1"/>
  <c r="M16" i="4" s="1"/>
  <c r="P11" i="5" s="1"/>
  <c r="M6" i="4"/>
  <c r="M8" i="4" a="1"/>
  <c r="M8" i="4" s="1"/>
  <c r="M10" i="4" a="1"/>
  <c r="M10" i="4" s="1"/>
  <c r="M11" i="4" a="1"/>
  <c r="M11" i="4" s="1"/>
  <c r="K11" i="4" a="1"/>
  <c r="K11" i="4" s="1"/>
  <c r="K12" i="4" a="1"/>
  <c r="K12" i="4" s="1"/>
  <c r="K8" i="4" a="1"/>
  <c r="K8" i="4" s="1"/>
  <c r="K10" i="4" a="1"/>
  <c r="K10" i="4" s="1"/>
  <c r="K13" i="4" a="1"/>
  <c r="K13" i="4" s="1"/>
  <c r="G16" i="4" a="1"/>
  <c r="G16" i="4" s="1"/>
  <c r="P5" i="5" s="1"/>
  <c r="G10" i="4" a="1"/>
  <c r="G10" i="4" s="1"/>
  <c r="G13" i="4" a="1"/>
  <c r="G13" i="4" s="1"/>
  <c r="G8" i="4" a="1"/>
  <c r="G8" i="4" s="1"/>
  <c r="G6" i="4"/>
  <c r="G9" i="4" a="1"/>
  <c r="G9" i="4" s="1"/>
  <c r="H8" i="4" a="1"/>
  <c r="H8" i="4" s="1"/>
  <c r="H12" i="4" a="1"/>
  <c r="H12" i="4" s="1"/>
  <c r="H7" i="4" a="1"/>
  <c r="H7" i="4" s="1"/>
  <c r="H11" i="4" a="1"/>
  <c r="H11" i="4" s="1"/>
  <c r="H6" i="4"/>
  <c r="H10" i="4" a="1"/>
  <c r="H10" i="4" s="1"/>
  <c r="I11" i="4" a="1"/>
  <c r="I11" i="4" s="1"/>
  <c r="I12" i="4" a="1"/>
  <c r="I12" i="4" s="1"/>
  <c r="I13" i="4" a="1"/>
  <c r="I13" i="4" s="1"/>
  <c r="I10" i="4" a="1"/>
  <c r="I10" i="4" s="1"/>
  <c r="I16" i="4" a="1"/>
  <c r="I16" i="4" s="1"/>
  <c r="P7" i="5" s="1"/>
  <c r="N11" i="4" a="1"/>
  <c r="N11" i="4" s="1"/>
  <c r="N6" i="4"/>
  <c r="N10" i="4" a="1"/>
  <c r="N10" i="4" s="1"/>
  <c r="N7" i="4" a="1"/>
  <c r="N7" i="4" s="1"/>
  <c r="I7" i="4" a="1"/>
  <c r="I7" i="4" s="1"/>
  <c r="I8" i="4" a="1"/>
  <c r="I8" i="4" s="1"/>
  <c r="I9" i="4" a="1"/>
  <c r="I9" i="4" s="1"/>
  <c r="I6" i="4"/>
  <c r="L10" i="4" a="1"/>
  <c r="L10" i="4" s="1"/>
  <c r="L13" i="4" a="1"/>
  <c r="L13" i="4" s="1"/>
  <c r="L12" i="4" a="1"/>
  <c r="L12" i="4" s="1"/>
  <c r="L8" i="4" a="1"/>
  <c r="L8" i="4" s="1"/>
  <c r="L7" i="4" a="1"/>
  <c r="L7" i="4" s="1"/>
  <c r="L16" i="4" a="1"/>
  <c r="L16" i="4" s="1"/>
  <c r="P10" i="5" s="1"/>
  <c r="L11" i="4" a="1"/>
  <c r="L11" i="4" s="1"/>
  <c r="L6" i="4"/>
  <c r="L9" i="4" a="1"/>
  <c r="L9" i="4" s="1"/>
  <c r="P16" i="4" a="1"/>
  <c r="P16" i="4" s="1"/>
  <c r="P14" i="5" s="1"/>
  <c r="P7" i="4" a="1"/>
  <c r="P7" i="4" s="1"/>
  <c r="P11" i="4" a="1"/>
  <c r="P11" i="4" s="1"/>
  <c r="P13" i="4" a="1"/>
  <c r="P13" i="4" s="1"/>
  <c r="P6" i="4"/>
  <c r="P8" i="4" a="1"/>
  <c r="P8" i="4" s="1"/>
  <c r="P9" i="4" a="1"/>
  <c r="P9" i="4" s="1"/>
  <c r="P10" i="4" a="1"/>
  <c r="P10" i="4" s="1"/>
  <c r="P12" i="4" a="1"/>
  <c r="P12" i="4" s="1"/>
  <c r="N9" i="4" a="1"/>
  <c r="N9" i="4" s="1"/>
  <c r="N8" i="4" a="1"/>
  <c r="N8" i="4" s="1"/>
  <c r="N16" i="4" a="1"/>
  <c r="N16" i="4" s="1"/>
  <c r="P12" i="5" s="1"/>
  <c r="N13" i="4" a="1"/>
  <c r="N13" i="4" s="1"/>
  <c r="F14" i="4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H9" i="1" a="1"/>
  <c r="H9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N9" i="1" a="1"/>
  <c r="N9" i="1" s="1"/>
  <c r="O9" i="1" a="1"/>
  <c r="O9" i="1" s="1"/>
  <c r="P9" i="1" a="1"/>
  <c r="P9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6" i="1"/>
  <c r="G6" i="1"/>
  <c r="H6" i="1"/>
  <c r="I6" i="1"/>
  <c r="J6" i="1"/>
  <c r="K6" i="1"/>
  <c r="L6" i="1"/>
  <c r="M6" i="1"/>
  <c r="N6" i="1"/>
  <c r="O6" i="1"/>
  <c r="P6" i="1"/>
  <c r="H4" i="1"/>
  <c r="H2" i="1" s="1"/>
  <c r="I4" i="1"/>
  <c r="I2" i="1" s="1"/>
  <c r="J4" i="1"/>
  <c r="J2" i="1" s="1"/>
  <c r="K4" i="1"/>
  <c r="K2" i="1" s="1"/>
  <c r="L4" i="1"/>
  <c r="L2" i="1" s="1"/>
  <c r="M4" i="1"/>
  <c r="M2" i="1" s="1"/>
  <c r="N4" i="1"/>
  <c r="N2" i="1" s="1"/>
  <c r="O4" i="1"/>
  <c r="O2" i="1" s="1"/>
  <c r="P4" i="1"/>
  <c r="P2" i="1" s="1"/>
  <c r="G4" i="1"/>
  <c r="G2" i="1" s="1"/>
  <c r="L12" i="5" l="1"/>
  <c r="M12" i="5" s="1"/>
  <c r="L20" i="5"/>
  <c r="M20" i="5" s="1"/>
  <c r="L28" i="5"/>
  <c r="M28" i="5" s="1"/>
  <c r="L36" i="5"/>
  <c r="M36" i="5" s="1"/>
  <c r="L39" i="5"/>
  <c r="M39" i="5" s="1"/>
  <c r="L6" i="5"/>
  <c r="M6" i="5" s="1"/>
  <c r="L14" i="5"/>
  <c r="M14" i="5" s="1"/>
  <c r="L7" i="5"/>
  <c r="M7" i="5" s="1"/>
  <c r="L8" i="5"/>
  <c r="M8" i="5" s="1"/>
  <c r="L16" i="5"/>
  <c r="M16" i="5" s="1"/>
  <c r="L24" i="5"/>
  <c r="M24" i="5" s="1"/>
  <c r="L32" i="5"/>
  <c r="M32" i="5" s="1"/>
  <c r="L38" i="5"/>
  <c r="M38" i="5" s="1"/>
  <c r="L23" i="5"/>
  <c r="M23" i="5" s="1"/>
  <c r="L9" i="5"/>
  <c r="M9" i="5" s="1"/>
  <c r="L17" i="5"/>
  <c r="M17" i="5" s="1"/>
  <c r="L25" i="5"/>
  <c r="M25" i="5" s="1"/>
  <c r="L33" i="5"/>
  <c r="M33" i="5" s="1"/>
  <c r="L4" i="5"/>
  <c r="L19" i="5"/>
  <c r="M19" i="5" s="1"/>
  <c r="L35" i="5"/>
  <c r="M35" i="5" s="1"/>
  <c r="L13" i="5"/>
  <c r="M13" i="5" s="1"/>
  <c r="L29" i="5"/>
  <c r="M29" i="5" s="1"/>
  <c r="L37" i="5"/>
  <c r="M37" i="5" s="1"/>
  <c r="L22" i="5"/>
  <c r="M22" i="5" s="1"/>
  <c r="L15" i="5"/>
  <c r="M15" i="5" s="1"/>
  <c r="L10" i="5"/>
  <c r="M10" i="5" s="1"/>
  <c r="L18" i="5"/>
  <c r="M18" i="5" s="1"/>
  <c r="L26" i="5"/>
  <c r="M26" i="5" s="1"/>
  <c r="L34" i="5"/>
  <c r="M34" i="5" s="1"/>
  <c r="L11" i="5"/>
  <c r="M11" i="5" s="1"/>
  <c r="L27" i="5"/>
  <c r="M27" i="5" s="1"/>
  <c r="L5" i="5"/>
  <c r="M5" i="5" s="1"/>
  <c r="L21" i="5"/>
  <c r="M21" i="5" s="1"/>
  <c r="L30" i="5"/>
  <c r="M30" i="5" s="1"/>
  <c r="L31" i="5"/>
  <c r="M31" i="5" s="1"/>
  <c r="J14" i="4"/>
  <c r="O14" i="4"/>
  <c r="G14" i="4"/>
  <c r="M14" i="4"/>
  <c r="K14" i="4"/>
  <c r="H14" i="4"/>
  <c r="I14" i="4"/>
  <c r="L14" i="4"/>
  <c r="P14" i="4"/>
  <c r="N14" i="4"/>
  <c r="I14" i="1"/>
  <c r="J14" i="1"/>
  <c r="O14" i="1"/>
  <c r="H14" i="1"/>
  <c r="L14" i="1"/>
  <c r="M14" i="1"/>
  <c r="N14" i="1"/>
  <c r="K14" i="1"/>
  <c r="P14" i="1"/>
  <c r="G14" i="1"/>
  <c r="F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jechavarriocanas</author>
  </authors>
  <commentList>
    <comment ref="G9" authorId="0" shapeId="0" xr:uid="{B6B2428D-B4E9-44E7-99E0-E6D240E2BB93}">
      <text>
        <r>
          <rPr>
            <sz val="9"/>
            <color indexed="81"/>
            <rFont val="Tahoma"/>
            <family val="2"/>
          </rPr>
          <t>{MOLE-ENTHALPY:kJ/kmol}</t>
        </r>
      </text>
    </comment>
    <comment ref="I9" authorId="0" shapeId="0" xr:uid="{2D20B16F-DF5A-488B-A5DC-6A991C4C937A}">
      <text>
        <r>
          <rPr>
            <sz val="9"/>
            <color indexed="81"/>
            <rFont val="Tahoma"/>
            <family val="2"/>
          </rPr>
          <t>{MOLE-ENTHALPY:kJ/kmol}</t>
        </r>
      </text>
    </comment>
    <comment ref="J9" authorId="0" shapeId="0" xr:uid="{39349A49-4E9E-4156-8C98-10A62A0FCB0E}">
      <text>
        <r>
          <rPr>
            <sz val="9"/>
            <color indexed="81"/>
            <rFont val="Tahoma"/>
            <family val="2"/>
          </rPr>
          <t>{MOLE-HEAT-CAPACITY:kJ/kmol-K}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<sst xmlns="http://schemas.openxmlformats.org/spreadsheetml/2006/main" count="541" uniqueCount="275">
  <si>
    <t>methanol</t>
  </si>
  <si>
    <t>1-propene</t>
  </si>
  <si>
    <t>1-butene</t>
  </si>
  <si>
    <t>acetaldehyde</t>
  </si>
  <si>
    <t>1-pentene</t>
  </si>
  <si>
    <t>diethyl ether</t>
  </si>
  <si>
    <t>ethanol</t>
  </si>
  <si>
    <t>2-propanol</t>
  </si>
  <si>
    <t>acetone</t>
  </si>
  <si>
    <t>1-hexene</t>
  </si>
  <si>
    <t>butyraldehyde</t>
  </si>
  <si>
    <t>ethyl acetate</t>
  </si>
  <si>
    <t>2-butanol</t>
  </si>
  <si>
    <t>2-butanone</t>
  </si>
  <si>
    <t>n-Butyl ethyl ether</t>
  </si>
  <si>
    <t>1-butanol</t>
  </si>
  <si>
    <t>2-pentanone</t>
  </si>
  <si>
    <t>2-pentanol</t>
  </si>
  <si>
    <t>2-octene</t>
  </si>
  <si>
    <t>2-methyl-1-butanol</t>
  </si>
  <si>
    <t>2-ethylbutanal</t>
  </si>
  <si>
    <t>3-methyl-2-pentanone</t>
  </si>
  <si>
    <t>ethyl butanoate</t>
  </si>
  <si>
    <t>3-hexanone</t>
  </si>
  <si>
    <t>butyl acetate</t>
  </si>
  <si>
    <t>hexanal</t>
  </si>
  <si>
    <t>2-ethylbutanol</t>
  </si>
  <si>
    <t>3-hexen-1-ol</t>
  </si>
  <si>
    <t>1-butoxy-1-ethoxyethane</t>
  </si>
  <si>
    <t>1-hexanol</t>
  </si>
  <si>
    <t>4-heptanone</t>
  </si>
  <si>
    <t>4-heptanol</t>
  </si>
  <si>
    <t>2-heptanone</t>
  </si>
  <si>
    <t>2-ethylbutyl acetate</t>
  </si>
  <si>
    <t>Butyl butanoate</t>
  </si>
  <si>
    <t>ethyl hexanoate</t>
  </si>
  <si>
    <t>3-octanone</t>
  </si>
  <si>
    <t>hexyl acetate</t>
  </si>
  <si>
    <t>octanal</t>
  </si>
  <si>
    <t>1-octanol</t>
  </si>
  <si>
    <t>4-nonanone</t>
  </si>
  <si>
    <t>2-nonanone</t>
  </si>
  <si>
    <t>butyl hexanoate</t>
  </si>
  <si>
    <t>octyl acetate</t>
  </si>
  <si>
    <t>2-butyl-1-octanol</t>
  </si>
  <si>
    <t>2-ethyl-1-octanol</t>
  </si>
  <si>
    <t>1-decanol</t>
  </si>
  <si>
    <t>4-undecanone</t>
  </si>
  <si>
    <t>Butyl octanoate</t>
  </si>
  <si>
    <t>2-ethyl-1-decanol</t>
  </si>
  <si>
    <t>1-dodecanol</t>
  </si>
  <si>
    <t>Code</t>
  </si>
  <si>
    <t>Compound</t>
  </si>
  <si>
    <t xml:space="preserve">Code </t>
  </si>
  <si>
    <t>CN</t>
  </si>
  <si>
    <t>octene</t>
  </si>
  <si>
    <t>di-n-butyl ether</t>
  </si>
  <si>
    <t>2-heptanol</t>
  </si>
  <si>
    <t>2-ethylhexanal</t>
  </si>
  <si>
    <t xml:space="preserve">	∞</t>
  </si>
  <si>
    <r>
      <t>3</t>
    </r>
    <r>
      <rPr>
        <b/>
        <sz val="11"/>
        <color theme="1"/>
        <rFont val="Symbol"/>
        <family val="1"/>
        <charset val="2"/>
      </rPr>
      <t>´</t>
    </r>
    <r>
      <rPr>
        <b/>
        <sz val="11"/>
        <color theme="1"/>
        <rFont val="Calibri"/>
        <family val="2"/>
        <scheme val="minor"/>
      </rPr>
      <t>log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τ</t>
    </r>
    <r>
      <rPr>
        <b/>
        <sz val="11"/>
        <color theme="1"/>
        <rFont val="Calibri"/>
        <family val="2"/>
        <scheme val="minor"/>
      </rPr>
      <t>)</t>
    </r>
  </si>
  <si>
    <t>Carbon Balance</t>
  </si>
  <si>
    <t>Carbon in Alcohols</t>
  </si>
  <si>
    <t>Carbon in Aldehydes</t>
  </si>
  <si>
    <t>Carbon in Esters</t>
  </si>
  <si>
    <t>Carbon in Paraffins</t>
  </si>
  <si>
    <t>Carbon in Olefins</t>
  </si>
  <si>
    <t>Carbon in Ketones</t>
  </si>
  <si>
    <t>Carbon in Ethers</t>
  </si>
  <si>
    <t>Missing Carbon</t>
  </si>
  <si>
    <t>Included in model?</t>
  </si>
  <si>
    <t>No</t>
  </si>
  <si>
    <t>Yes</t>
  </si>
  <si>
    <t>Carbon Explained by modeled species = Normalizing values</t>
  </si>
  <si>
    <t>Feed</t>
  </si>
  <si>
    <t>Ethanol:Butanol</t>
  </si>
  <si>
    <t>70:30 mol%</t>
  </si>
  <si>
    <t>Concentration in the liquid mixture [M]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</si>
  <si>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</si>
  <si>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</si>
  <si>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</si>
  <si>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</si>
  <si>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</si>
  <si>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</si>
  <si>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</si>
  <si>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</si>
  <si>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</si>
  <si>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</si>
  <si>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</si>
  <si>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</si>
  <si>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</si>
  <si>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</si>
  <si>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</si>
  <si>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</si>
  <si>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</si>
  <si>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</si>
  <si>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</si>
  <si>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</si>
  <si>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</si>
  <si>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</si>
  <si>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</si>
  <si>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</si>
  <si>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</si>
  <si>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</si>
  <si>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</si>
  <si>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</si>
  <si>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%E</t>
  </si>
  <si>
    <t>%B</t>
  </si>
  <si>
    <t>%H</t>
  </si>
  <si>
    <t>%O</t>
  </si>
  <si>
    <t>%D</t>
  </si>
  <si>
    <t>%2EB</t>
  </si>
  <si>
    <t>%2EH</t>
  </si>
  <si>
    <t>%A</t>
  </si>
  <si>
    <t>%Bal</t>
  </si>
  <si>
    <t>%EA</t>
  </si>
  <si>
    <t>%BA</t>
  </si>
  <si>
    <t>%EB</t>
  </si>
  <si>
    <t>%BB</t>
  </si>
  <si>
    <t>%He</t>
  </si>
  <si>
    <t>%Oc</t>
  </si>
  <si>
    <t>%2EBa</t>
  </si>
  <si>
    <t>%2EHa</t>
  </si>
  <si>
    <t>%Ac</t>
  </si>
  <si>
    <t>%2Po</t>
  </si>
  <si>
    <t>%BH</t>
  </si>
  <si>
    <t>%EH</t>
  </si>
  <si>
    <t>%HA</t>
  </si>
  <si>
    <t>%BO</t>
  </si>
  <si>
    <t>%2EBAc</t>
  </si>
  <si>
    <t>%4-Ho</t>
  </si>
  <si>
    <t>%4No</t>
  </si>
  <si>
    <t>%2Ho</t>
  </si>
  <si>
    <t>%2BO</t>
  </si>
  <si>
    <t>%H2O</t>
  </si>
  <si>
    <t>%CO</t>
  </si>
  <si>
    <t>%H2</t>
  </si>
  <si>
    <t>MW (g/mol)</t>
  </si>
  <si>
    <t>ρ/MW (mol/L)</t>
  </si>
  <si>
    <t>Compund</t>
  </si>
  <si>
    <t>Pure Ethanol</t>
  </si>
  <si>
    <r>
      <t>WHSV (g</t>
    </r>
    <r>
      <rPr>
        <b/>
        <vertAlign val="subscript"/>
        <sz val="11"/>
        <color theme="1"/>
        <rFont val="Calibri"/>
        <family val="2"/>
        <scheme val="minor"/>
      </rPr>
      <t>alcohol</t>
    </r>
    <r>
      <rPr>
        <b/>
        <sz val="11"/>
        <color theme="1"/>
        <rFont val="Calibri"/>
        <family val="2"/>
        <scheme val="minor"/>
      </rPr>
      <t xml:space="preserve"> h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g</t>
    </r>
    <r>
      <rPr>
        <b/>
        <vertAlign val="subscript"/>
        <sz val="11"/>
        <color theme="1"/>
        <rFont val="Calibri"/>
        <family val="2"/>
        <scheme val="minor"/>
      </rPr>
      <t>cat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)→</t>
    </r>
  </si>
  <si>
    <r>
      <t>τ (h*kg</t>
    </r>
    <r>
      <rPr>
        <b/>
        <vertAlign val="subscript"/>
        <sz val="11"/>
        <color theme="1"/>
        <rFont val="Calibri"/>
        <family val="2"/>
        <scheme val="minor"/>
      </rPr>
      <t>cat</t>
    </r>
    <r>
      <rPr>
        <b/>
        <sz val="11"/>
        <color theme="1"/>
        <rFont val="Calibri"/>
        <family val="2"/>
        <scheme val="minor"/>
      </rPr>
      <t>/k</t>
    </r>
    <r>
      <rPr>
        <b/>
        <vertAlign val="subscript"/>
        <sz val="11"/>
        <color theme="1"/>
        <rFont val="Calibri"/>
        <family val="2"/>
        <scheme val="minor"/>
      </rPr>
      <t>mol gas)</t>
    </r>
  </si>
  <si>
    <t>E</t>
  </si>
  <si>
    <t>B</t>
  </si>
  <si>
    <t>H</t>
  </si>
  <si>
    <t>O</t>
  </si>
  <si>
    <t>D</t>
  </si>
  <si>
    <t>2EB</t>
  </si>
  <si>
    <t>2EH</t>
  </si>
  <si>
    <t>A</t>
  </si>
  <si>
    <t>Bal</t>
  </si>
  <si>
    <t>EA</t>
  </si>
  <si>
    <t>BA</t>
  </si>
  <si>
    <t>EB</t>
  </si>
  <si>
    <t>BB</t>
  </si>
  <si>
    <t>He</t>
  </si>
  <si>
    <t>Oc</t>
  </si>
  <si>
    <t>2EBa</t>
  </si>
  <si>
    <t>2EHa</t>
  </si>
  <si>
    <t>Ac</t>
  </si>
  <si>
    <t>2Po</t>
  </si>
  <si>
    <t>BH</t>
  </si>
  <si>
    <t>EH</t>
  </si>
  <si>
    <t>HA</t>
  </si>
  <si>
    <t>BO</t>
  </si>
  <si>
    <t>2EBAc</t>
  </si>
  <si>
    <t>4Ho</t>
  </si>
  <si>
    <t>4No</t>
  </si>
  <si>
    <t>2Ho</t>
  </si>
  <si>
    <t>2BO</t>
  </si>
  <si>
    <t>W</t>
  </si>
  <si>
    <t>water</t>
  </si>
  <si>
    <t>CO</t>
  </si>
  <si>
    <t>Hydrogen</t>
  </si>
  <si>
    <t>Cofeed</t>
  </si>
  <si>
    <t>Select a compound:</t>
  </si>
  <si>
    <r>
      <t>τ (h*kg</t>
    </r>
    <r>
      <rPr>
        <b/>
        <vertAlign val="subscript"/>
        <sz val="11"/>
        <color theme="1"/>
        <rFont val="Calibri"/>
        <family val="2"/>
        <scheme val="minor"/>
      </rPr>
      <t>cat</t>
    </r>
    <r>
      <rPr>
        <b/>
        <sz val="11"/>
        <color theme="1"/>
        <rFont val="Calibri"/>
        <family val="2"/>
        <scheme val="minor"/>
      </rPr>
      <t>/kmol</t>
    </r>
    <r>
      <rPr>
        <b/>
        <vertAlign val="subscript"/>
        <sz val="11"/>
        <color theme="1"/>
        <rFont val="Calibri"/>
        <family val="2"/>
        <scheme val="minor"/>
      </rPr>
      <t>gas)</t>
    </r>
  </si>
  <si>
    <r>
      <t>τ (h*kg</t>
    </r>
    <r>
      <rPr>
        <b/>
        <vertAlign val="subscript"/>
        <sz val="11"/>
        <color theme="1"/>
        <rFont val="Calibri"/>
        <family val="2"/>
        <scheme val="minor"/>
      </rPr>
      <t>cat</t>
    </r>
    <r>
      <rPr>
        <b/>
        <sz val="11"/>
        <color theme="1"/>
        <rFont val="Calibri"/>
        <family val="2"/>
        <scheme val="minor"/>
      </rPr>
      <t>/kmol</t>
    </r>
    <r>
      <rPr>
        <b/>
        <vertAlign val="subscript"/>
        <sz val="11"/>
        <color theme="1"/>
        <rFont val="Calibri"/>
        <family val="2"/>
        <scheme val="minor"/>
      </rPr>
      <t>gas</t>
    </r>
    <r>
      <rPr>
        <b/>
        <sz val="11"/>
        <color theme="1"/>
        <rFont val="Calibri"/>
        <family val="2"/>
        <scheme val="minor"/>
      </rPr>
      <t>)→</t>
    </r>
  </si>
  <si>
    <r>
      <t>τ (h*kg</t>
    </r>
    <r>
      <rPr>
        <b/>
        <vertAlign val="subscript"/>
        <sz val="11"/>
        <color theme="1"/>
        <rFont val="Calibri"/>
        <family val="2"/>
        <scheme val="minor"/>
      </rPr>
      <t>cat</t>
    </r>
    <r>
      <rPr>
        <b/>
        <sz val="11"/>
        <color theme="1"/>
        <rFont val="Calibri"/>
        <family val="2"/>
        <scheme val="minor"/>
      </rPr>
      <t>/kmol</t>
    </r>
    <r>
      <rPr>
        <b/>
        <vertAlign val="subscript"/>
        <sz val="11"/>
        <color theme="1"/>
        <rFont val="Calibri"/>
        <family val="2"/>
        <scheme val="minor"/>
      </rPr>
      <t>gas</t>
    </r>
    <r>
      <rPr>
        <b/>
        <sz val="11"/>
        <color theme="1"/>
        <rFont val="Calibri"/>
        <family val="2"/>
        <scheme val="minor"/>
      </rPr>
      <t>) →</t>
    </r>
  </si>
  <si>
    <t>Mole concentrations (M)</t>
  </si>
  <si>
    <t>Cofeed/Control</t>
  </si>
  <si>
    <t>Bal=</t>
  </si>
  <si>
    <t>He=</t>
  </si>
  <si>
    <t>2EBa=</t>
  </si>
  <si>
    <t>Oc=</t>
  </si>
  <si>
    <t>2EHe=</t>
  </si>
  <si>
    <t>De=</t>
  </si>
  <si>
    <t>De</t>
  </si>
  <si>
    <t>2BHe=</t>
  </si>
  <si>
    <t>2BHe</t>
  </si>
  <si>
    <t>Reactions color scheme</t>
  </si>
  <si>
    <r>
      <t>Alcohol → Aldehyde + H</t>
    </r>
    <r>
      <rPr>
        <vertAlign val="subscript"/>
        <sz val="11"/>
        <color theme="1"/>
        <rFont val="Calibri"/>
        <family val="2"/>
      </rPr>
      <t>2</t>
    </r>
  </si>
  <si>
    <r>
      <t>2 Aldehyde → Alkenal + H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O</t>
    </r>
  </si>
  <si>
    <t>Alkenal + H2 → Aldehyde</t>
  </si>
  <si>
    <r>
      <t>Alcohol + Aldehyde → Ester + H</t>
    </r>
    <r>
      <rPr>
        <vertAlign val="subscript"/>
        <sz val="11"/>
        <color theme="1"/>
        <rFont val="Calibri"/>
        <family val="2"/>
      </rPr>
      <t>2</t>
    </r>
  </si>
  <si>
    <r>
      <t>2 Aldehyde → Ketone + CO+ H</t>
    </r>
    <r>
      <rPr>
        <vertAlign val="subscript"/>
        <sz val="11"/>
        <color theme="1"/>
        <rFont val="Calibri"/>
        <family val="2"/>
      </rPr>
      <t>2</t>
    </r>
  </si>
  <si>
    <r>
      <t>K</t>
    </r>
    <r>
      <rPr>
        <vertAlign val="subscript"/>
        <sz val="11"/>
        <color theme="1"/>
        <rFont val="Calibri"/>
        <family val="2"/>
      </rPr>
      <t>eq</t>
    </r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</si>
  <si>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</si>
  <si>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</si>
  <si>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</si>
  <si>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</si>
  <si>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</si>
  <si>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</si>
  <si>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</si>
  <si>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</si>
  <si>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</si>
  <si>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r>
      <t>G</t>
    </r>
    <r>
      <rPr>
        <b/>
        <vertAlign val="subscript"/>
        <sz val="11"/>
        <color theme="1"/>
        <rFont val="Calibri"/>
        <family val="2"/>
      </rPr>
      <t>f</t>
    </r>
    <r>
      <rPr>
        <b/>
        <sz val="11"/>
        <color theme="1"/>
        <rFont val="Calibri"/>
        <family val="2"/>
      </rPr>
      <t xml:space="preserve"> (J/mol) @ 325 °C</t>
    </r>
  </si>
  <si>
    <t>2-ethylhexanol</t>
  </si>
  <si>
    <t>%2Bal=</t>
  </si>
  <si>
    <t>2-butenal</t>
  </si>
  <si>
    <t>%2He=</t>
  </si>
  <si>
    <t>2-hexenal</t>
  </si>
  <si>
    <t>%2EBa=</t>
  </si>
  <si>
    <t>2-ethylbutenal</t>
  </si>
  <si>
    <t>%Oc=</t>
  </si>
  <si>
    <t>2-octenal</t>
  </si>
  <si>
    <t>%2EHa=</t>
  </si>
  <si>
    <t>2-ethylhexenal</t>
  </si>
  <si>
    <t>%De=</t>
  </si>
  <si>
    <t>2-decenal</t>
  </si>
  <si>
    <t>%De</t>
  </si>
  <si>
    <t>decanal</t>
  </si>
  <si>
    <t>%2BOc=</t>
  </si>
  <si>
    <t>2-butyl-2-octenal</t>
  </si>
  <si>
    <t>%2BOc</t>
  </si>
  <si>
    <t>2-butyloctanal</t>
  </si>
  <si>
    <t>Rxn. Balance</t>
  </si>
  <si>
    <t>Δn</t>
  </si>
  <si>
    <t>Thermochemistry information source:</t>
  </si>
  <si>
    <t>Aspen Properties</t>
  </si>
  <si>
    <t>JANAF</t>
  </si>
  <si>
    <t>https://janaf.nist.gov/</t>
  </si>
  <si>
    <t>NIST</t>
  </si>
  <si>
    <t>https://webbook.nist.gov/</t>
  </si>
  <si>
    <r>
      <t>Cp (J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K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</si>
  <si>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Calculated</t>
  </si>
  <si>
    <t>From Aspen</t>
  </si>
  <si>
    <t>Joback-Reid</t>
  </si>
  <si>
    <t>Fit for Cp=aT+b</t>
  </si>
  <si>
    <t>Formule</t>
  </si>
  <si>
    <t>#C</t>
  </si>
  <si>
    <t>#H</t>
  </si>
  <si>
    <t>#O</t>
  </si>
  <si>
    <r>
      <t>ΔH°</t>
    </r>
    <r>
      <rPr>
        <b/>
        <vertAlign val="subscript"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(J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</si>
  <si>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S° (J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K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</si>
  <si>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ΔG°</t>
    </r>
    <r>
      <rPr>
        <b/>
        <vertAlign val="subscript"/>
        <sz val="11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(J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</si>
  <si>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a=slope</t>
  </si>
  <si>
    <t>b=intercept</t>
  </si>
  <si>
    <t>r²</t>
  </si>
  <si>
    <t>Ethanol</t>
  </si>
  <si>
    <t>Butanol</t>
  </si>
  <si>
    <t>Hexanol</t>
  </si>
  <si>
    <t>Octanol</t>
  </si>
  <si>
    <t>Decanol</t>
  </si>
  <si>
    <t>2-Ethylhexanol</t>
  </si>
  <si>
    <t>Acetaldehyde</t>
  </si>
  <si>
    <t>Butyraldehyde</t>
  </si>
  <si>
    <t>Ethyl acetate</t>
  </si>
  <si>
    <t>Butyl acetate</t>
  </si>
  <si>
    <t>Ethyl butyrate</t>
  </si>
  <si>
    <t>Butyl butyrate</t>
  </si>
  <si>
    <t>Hexanal</t>
  </si>
  <si>
    <t>Octanal</t>
  </si>
  <si>
    <t>2-Ethylbutanal</t>
  </si>
  <si>
    <t>2-Ethylhexanal</t>
  </si>
  <si>
    <t>Butyl hexanoate</t>
  </si>
  <si>
    <t>Ethyl hexanoate</t>
  </si>
  <si>
    <t>Hexyl acetate</t>
  </si>
  <si>
    <t>Decanal</t>
  </si>
  <si>
    <t>C (ref)</t>
  </si>
  <si>
    <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(ref)</t>
    </r>
  </si>
  <si>
    <t>Predicted with Joback-Reid Group contribution method in Aspen Properties</t>
  </si>
  <si>
    <r>
      <t>CRC Handbook of Chemistry and Physics 95</t>
    </r>
    <r>
      <rPr>
        <b/>
        <vertAlign val="superscript"/>
        <sz val="11"/>
        <color rgb="FF7030A0"/>
        <rFont val="Calibri"/>
        <family val="2"/>
        <scheme val="minor"/>
      </rPr>
      <t>th</t>
    </r>
    <r>
      <rPr>
        <b/>
        <sz val="11"/>
        <color rgb="FF7030A0"/>
        <rFont val="Calibri"/>
        <family val="2"/>
        <scheme val="minor"/>
      </rPr>
      <t xml:space="preserve"> edition</t>
    </r>
  </si>
  <si>
    <t>Chemical properties handbook; McGraw-Hill Handbook, Carl L. Yaws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</si>
</sst>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"/>
    <numFmt numFmtId="166" formatCode="0.000000"/>
    <numFmt numFmtId="167" formatCode="0.00000"/>
    <numFmt numFmtId="168" formatCode="0.000"/>
    <numFmt numFmtId="169" formatCode="#\ &quot;K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F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Tahoma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vertAlign val="superscript"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E2AC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0">
    <xf numFmtId="0" fontId="0" fillId="0" borderId="0" xfId="0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 indent="1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3" borderId="0" xfId="0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2" fontId="0" fillId="2" borderId="0" xfId="0" applyNumberFormat="1" applyFill="1" applyAlignment="1">
      <alignment horizontal="right" vertical="center" indent="1"/>
    </xf>
    <xf numFmtId="165" fontId="0" fillId="2" borderId="1" xfId="0" applyNumberForma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right" vertical="center" indent="1"/>
    </xf>
    <xf numFmtId="0" fontId="10" fillId="3" borderId="0" xfId="0" applyFont="1" applyFill="1" applyAlignment="1">
      <alignment horizontal="right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/>
    <xf numFmtId="166" fontId="0" fillId="2" borderId="0" xfId="0" applyNumberFormat="1" applyFill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167" fontId="3" fillId="3" borderId="0" xfId="0" applyNumberFormat="1" applyFont="1" applyFill="1"/>
    <xf numFmtId="9" fontId="0" fillId="2" borderId="0" xfId="1" applyFont="1" applyFill="1" applyAlignment="1">
      <alignment horizontal="center" vertical="center"/>
    </xf>
    <xf numFmtId="9" fontId="0" fillId="2" borderId="3" xfId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9" fontId="0" fillId="2" borderId="0" xfId="1" applyFont="1" applyFill="1" applyBorder="1" applyAlignment="1">
      <alignment horizontal="center" vertical="center"/>
    </xf>
    <xf numFmtId="9" fontId="0" fillId="2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left" vertical="center"/>
    </xf>
    <xf numFmtId="46" fontId="12" fillId="2" borderId="0" xfId="0" quotePrefix="1" applyNumberFormat="1" applyFont="1" applyFill="1" applyAlignment="1">
      <alignment horizontal="left" vertical="center"/>
    </xf>
    <xf numFmtId="46" fontId="11" fillId="2" borderId="0" xfId="0" quotePrefix="1" applyNumberFormat="1" applyFont="1" applyFill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0" fillId="2" borderId="0" xfId="0" applyFill="1"/>
    <xf numFmtId="2" fontId="0" fillId="2" borderId="0" xfId="0" applyNumberForma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2" borderId="0" xfId="0" applyFont="1" applyFill="1"/>
    <xf numFmtId="0" fontId="9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168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2" fontId="3" fillId="2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0" fontId="3" fillId="8" borderId="0" xfId="0" applyFont="1" applyFill="1" applyAlignment="1">
      <alignment horizontal="right" vertical="center"/>
    </xf>
    <xf numFmtId="0" fontId="3" fillId="6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" fontId="3" fillId="2" borderId="0" xfId="0" applyNumberFormat="1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1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169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169" fontId="2" fillId="2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right" vertical="center"/>
    </xf>
    <xf numFmtId="2" fontId="0" fillId="2" borderId="0" xfId="0" applyNumberFormat="1" applyFill="1" applyAlignment="1">
      <alignment horizontal="right" vertical="center"/>
    </xf>
    <xf numFmtId="1" fontId="0" fillId="2" borderId="0" xfId="0" applyNumberFormat="1" applyFill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68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right" vertical="center"/>
    </xf>
    <xf numFmtId="1" fontId="0" fillId="2" borderId="2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  <xf numFmtId="1" fontId="0" fillId="2" borderId="3" xfId="0" applyNumberFormat="1" applyFill="1" applyBorder="1" applyAlignment="1">
      <alignment horizontal="right" vertical="center"/>
    </xf>
    <xf numFmtId="2" fontId="0" fillId="2" borderId="3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169" fontId="2" fillId="2" borderId="3" xfId="0" applyNumberFormat="1" applyFont="1" applyFill="1" applyBorder="1" applyAlignment="1">
      <alignment horizontal="right" vertical="center"/>
    </xf>
    <xf numFmtId="0" fontId="23" fillId="2" borderId="0" xfId="2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2" xfId="0" applyFont="1" applyFill="1" applyBorder="1" applyAlignment="1">
      <alignment horizontal="right" vertical="center"/>
    </xf>
    <xf numFmtId="0" fontId="25" fillId="2" borderId="2" xfId="0" applyFont="1" applyFill="1" applyBorder="1" applyAlignment="1">
      <alignment horizontal="right" vertical="center"/>
    </xf>
    <xf numFmtId="1" fontId="25" fillId="2" borderId="2" xfId="0" applyNumberFormat="1" applyFont="1" applyFill="1" applyBorder="1" applyAlignment="1">
      <alignment horizontal="right" vertical="center"/>
    </xf>
    <xf numFmtId="2" fontId="28" fillId="2" borderId="2" xfId="0" applyNumberFormat="1" applyFont="1" applyFill="1" applyBorder="1" applyAlignment="1">
      <alignment horizontal="right" vertical="center"/>
    </xf>
    <xf numFmtId="1" fontId="27" fillId="2" borderId="2" xfId="0" applyNumberFormat="1" applyFont="1" applyFill="1" applyBorder="1" applyAlignment="1">
      <alignment horizontal="center" vertical="center"/>
    </xf>
    <xf numFmtId="1" fontId="27" fillId="2" borderId="0" xfId="0" applyNumberFormat="1" applyFont="1" applyFill="1" applyAlignment="1">
      <alignment horizontal="center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 wrapText="1"/>
    </xf>
    <xf numFmtId="2" fontId="12" fillId="2" borderId="2" xfId="0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 wrapText="1"/>
    </xf>
    <xf numFmtId="1" fontId="28" fillId="2" borderId="2" xfId="0" applyNumberFormat="1" applyFont="1" applyFill="1" applyBorder="1" applyAlignment="1">
      <alignment horizontal="right" vertical="center"/>
    </xf>
    <xf numFmtId="168" fontId="0" fillId="2" borderId="0" xfId="0" applyNumberFormat="1" applyFill="1"/>
    <xf numFmtId="168" fontId="11" fillId="2" borderId="0" xfId="0" applyNumberFormat="1" applyFont="1" applyFill="1"/>
    <xf numFmtId="1" fontId="29" fillId="2" borderId="2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1" fontId="0" fillId="2" borderId="1" xfId="0" applyNumberFormat="1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2" fontId="29" fillId="2" borderId="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69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ill>
        <patternFill>
          <bgColor rgb="FFDAEFC3"/>
        </patternFill>
      </fill>
    </dxf>
    <dxf>
      <fill>
        <patternFill patternType="solid">
          <fgColor auto="1"/>
          <bgColor rgb="FFFFD5D5"/>
        </patternFill>
      </fill>
    </dxf>
    <dxf>
      <fill>
        <patternFill>
          <bgColor rgb="FFDAEFC3"/>
        </patternFill>
      </fill>
    </dxf>
    <dxf>
      <fill>
        <patternFill patternType="solid">
          <fgColor auto="1"/>
          <bgColor rgb="FFFFD5D5"/>
        </patternFill>
      </fill>
    </dxf>
  </dxfs>
  <tableStyles count="0" defaultTableStyle="TableStyleMedium2" defaultPivotStyle="PivotStyleLight16"/>
  <colors>
    <mruColors>
      <color rgb="FFE2AC00"/>
      <color rgb="FFFFD5D5"/>
      <color rgb="FFDAEFC3"/>
      <color rgb="FFFFA3A3"/>
      <color rgb="FFA4CE88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53208866133112"/>
          <c:y val="4.967770806158299E-2"/>
          <c:w val="0.48647970802172158"/>
          <c:h val="0.79856896666634924"/>
        </c:manualLayout>
      </c:layout>
      <c:scatterChart>
        <c:scatterStyle val="smoothMarker"/>
        <c:varyColors val="0"/>
        <c:ser>
          <c:idx val="2"/>
          <c:order val="0"/>
          <c:tx>
            <c:v>Model - Control</c:v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xVal>
            <c:numRef>
              <c:f>Summary!$J$4:$J$39</c:f>
              <c:numCache>
                <c:formatCode>0.00</c:formatCode>
                <c:ptCount val="36"/>
                <c:pt idx="0">
                  <c:v>0</c:v>
                </c:pt>
                <c:pt idx="1">
                  <c:v>0.12825058412978099</c:v>
                </c:pt>
                <c:pt idx="2">
                  <c:v>0.14952920299663799</c:v>
                </c:pt>
                <c:pt idx="3">
                  <c:v>0.17433825117072199</c:v>
                </c:pt>
                <c:pt idx="4">
                  <c:v>0.20326347771645201</c:v>
                </c:pt>
                <c:pt idx="5">
                  <c:v>0.23698781590350701</c:v>
                </c:pt>
                <c:pt idx="6">
                  <c:v>0.27630750746605398</c:v>
                </c:pt>
                <c:pt idx="7">
                  <c:v>0.322150902108776</c:v>
                </c:pt>
                <c:pt idx="8">
                  <c:v>0.375600376121696</c:v>
                </c:pt>
                <c:pt idx="9">
                  <c:v>0.43791788760884698</c:v>
                </c:pt>
                <c:pt idx="10">
                  <c:v>0.51057477169740595</c:v>
                </c:pt>
                <c:pt idx="11">
                  <c:v>0.59528647920111</c:v>
                </c:pt>
                <c:pt idx="12">
                  <c:v>0.694053078928213</c:v>
                </c:pt>
                <c:pt idx="13">
                  <c:v>0.80920647990560601</c:v>
                </c:pt>
                <c:pt idx="14">
                  <c:v>0.94346548844998401</c:v>
                </c:pt>
                <c:pt idx="15">
                  <c:v>1.1000000000000001</c:v>
                </c:pt>
                <c:pt idx="16">
                  <c:v>1.2825058412978101</c:v>
                </c:pt>
                <c:pt idx="17">
                  <c:v>1.4952920299663801</c:v>
                </c:pt>
                <c:pt idx="18">
                  <c:v>1.7433825117072199</c:v>
                </c:pt>
                <c:pt idx="19">
                  <c:v>2.0326347771645201</c:v>
                </c:pt>
                <c:pt idx="20">
                  <c:v>2.3698781590350699</c:v>
                </c:pt>
                <c:pt idx="21">
                  <c:v>2.7630750746605401</c:v>
                </c:pt>
                <c:pt idx="22">
                  <c:v>3.2215090210877602</c:v>
                </c:pt>
                <c:pt idx="23">
                  <c:v>3.7560037612169599</c:v>
                </c:pt>
                <c:pt idx="24">
                  <c:v>4.3791788760884698</c:v>
                </c:pt>
                <c:pt idx="25">
                  <c:v>5.1057477169740597</c:v>
                </c:pt>
                <c:pt idx="26">
                  <c:v>5.9528647920111002</c:v>
                </c:pt>
                <c:pt idx="27">
                  <c:v>6.9405307892821302</c:v>
                </c:pt>
                <c:pt idx="28">
                  <c:v>8.0920647990560592</c:v>
                </c:pt>
                <c:pt idx="29">
                  <c:v>9.4346548844998406</c:v>
                </c:pt>
                <c:pt idx="30">
                  <c:v>11</c:v>
                </c:pt>
                <c:pt idx="31">
                  <c:v>12.825058412978199</c:v>
                </c:pt>
                <c:pt idx="32">
                  <c:v>14.9529202996638</c:v>
                </c:pt>
                <c:pt idx="33">
                  <c:v>17.433825117072299</c:v>
                </c:pt>
                <c:pt idx="34">
                  <c:v>20.326347771645199</c:v>
                </c:pt>
                <c:pt idx="35">
                  <c:v>23.698781590350698</c:v>
                </c:pt>
              </c:numCache>
            </c:numRef>
          </c:xVal>
          <c:yVal>
            <c:numRef>
              <c:f>Summary!$K$4:$K$39</c:f>
              <c:numCache>
                <c:formatCode>0.00</c:formatCode>
                <c:ptCount val="36"/>
                <c:pt idx="0">
                  <c:v>0</c:v>
                </c:pt>
                <c:pt idx="1">
                  <c:v>8.1265771678388902E-4</c:v>
                </c:pt>
                <c:pt idx="2">
                  <c:v>1.5643591191414599E-3</c:v>
                </c:pt>
                <c:pt idx="3">
                  <c:v>2.9647384143299598E-3</c:v>
                </c:pt>
                <c:pt idx="4">
                  <c:v>5.5236201604611599E-3</c:v>
                </c:pt>
                <c:pt idx="5">
                  <c:v>1.00716013806519E-2</c:v>
                </c:pt>
                <c:pt idx="6">
                  <c:v>1.7880739859312801E-2</c:v>
                </c:pt>
                <c:pt idx="7">
                  <c:v>3.0762690728971101E-2</c:v>
                </c:pt>
                <c:pt idx="8">
                  <c:v>5.1007756792473199E-2</c:v>
                </c:pt>
                <c:pt idx="9">
                  <c:v>8.1134082929221904E-2</c:v>
                </c:pt>
                <c:pt idx="10">
                  <c:v>0.123451905279614</c:v>
                </c:pt>
                <c:pt idx="11">
                  <c:v>0.17939243621630899</c:v>
                </c:pt>
                <c:pt idx="12">
                  <c:v>0.249300027920312</c:v>
                </c:pt>
                <c:pt idx="13">
                  <c:v>0.33220740681077099</c:v>
                </c:pt>
                <c:pt idx="14">
                  <c:v>0.42638777972186698</c:v>
                </c:pt>
                <c:pt idx="15">
                  <c:v>0.52968402374741796</c:v>
                </c:pt>
                <c:pt idx="16">
                  <c:v>0.63991375944510798</c:v>
                </c:pt>
                <c:pt idx="17">
                  <c:v>0.75516740188668297</c:v>
                </c:pt>
                <c:pt idx="18">
                  <c:v>0.87385492956333699</c:v>
                </c:pt>
                <c:pt idx="19">
                  <c:v>0.99467411426464303</c:v>
                </c:pt>
                <c:pt idx="20">
                  <c:v>1.11653100903092</c:v>
                </c:pt>
                <c:pt idx="21">
                  <c:v>1.23853624130951</c:v>
                </c:pt>
                <c:pt idx="22">
                  <c:v>1.3598279000503899</c:v>
                </c:pt>
                <c:pt idx="23">
                  <c:v>1.4796144527341799</c:v>
                </c:pt>
                <c:pt idx="24">
                  <c:v>1.59711340878589</c:v>
                </c:pt>
                <c:pt idx="25">
                  <c:v>1.7115500075740899</c:v>
                </c:pt>
                <c:pt idx="26">
                  <c:v>1.82213623598861</c:v>
                </c:pt>
                <c:pt idx="27">
                  <c:v>1.9280678000054901</c:v>
                </c:pt>
                <c:pt idx="28">
                  <c:v>2.02850667905413</c:v>
                </c:pt>
                <c:pt idx="29">
                  <c:v>2.1226501535084399</c:v>
                </c:pt>
                <c:pt idx="30">
                  <c:v>2.2097730883049702</c:v>
                </c:pt>
                <c:pt idx="31">
                  <c:v>2.28904859002848</c:v>
                </c:pt>
                <c:pt idx="32">
                  <c:v>2.35966363785891</c:v>
                </c:pt>
                <c:pt idx="33">
                  <c:v>2.42083921396347</c:v>
                </c:pt>
                <c:pt idx="34">
                  <c:v>2.4718639998284</c:v>
                </c:pt>
                <c:pt idx="35">
                  <c:v>2.51226179276824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73-4F3C-B21E-B61E554DB99F}"/>
            </c:ext>
          </c:extLst>
        </c:ser>
        <c:ser>
          <c:idx val="3"/>
          <c:order val="2"/>
          <c:tx>
            <c:v>Model - Cofeed</c:v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Summary!$J$4:$J$39</c:f>
              <c:numCache>
                <c:formatCode>0.00</c:formatCode>
                <c:ptCount val="36"/>
                <c:pt idx="0">
                  <c:v>0</c:v>
                </c:pt>
                <c:pt idx="1">
                  <c:v>0.12825058412978099</c:v>
                </c:pt>
                <c:pt idx="2">
                  <c:v>0.14952920299663799</c:v>
                </c:pt>
                <c:pt idx="3">
                  <c:v>0.17433825117072199</c:v>
                </c:pt>
                <c:pt idx="4">
                  <c:v>0.20326347771645201</c:v>
                </c:pt>
                <c:pt idx="5">
                  <c:v>0.23698781590350701</c:v>
                </c:pt>
                <c:pt idx="6">
                  <c:v>0.27630750746605398</c:v>
                </c:pt>
                <c:pt idx="7">
                  <c:v>0.322150902108776</c:v>
                </c:pt>
                <c:pt idx="8">
                  <c:v>0.375600376121696</c:v>
                </c:pt>
                <c:pt idx="9">
                  <c:v>0.43791788760884698</c:v>
                </c:pt>
                <c:pt idx="10">
                  <c:v>0.51057477169740595</c:v>
                </c:pt>
                <c:pt idx="11">
                  <c:v>0.59528647920111</c:v>
                </c:pt>
                <c:pt idx="12">
                  <c:v>0.694053078928213</c:v>
                </c:pt>
                <c:pt idx="13">
                  <c:v>0.80920647990560601</c:v>
                </c:pt>
                <c:pt idx="14">
                  <c:v>0.94346548844998401</c:v>
                </c:pt>
                <c:pt idx="15">
                  <c:v>1.1000000000000001</c:v>
                </c:pt>
                <c:pt idx="16">
                  <c:v>1.2825058412978101</c:v>
                </c:pt>
                <c:pt idx="17">
                  <c:v>1.4952920299663801</c:v>
                </c:pt>
                <c:pt idx="18">
                  <c:v>1.7433825117072199</c:v>
                </c:pt>
                <c:pt idx="19">
                  <c:v>2.0326347771645201</c:v>
                </c:pt>
                <c:pt idx="20">
                  <c:v>2.3698781590350699</c:v>
                </c:pt>
                <c:pt idx="21">
                  <c:v>2.7630750746605401</c:v>
                </c:pt>
                <c:pt idx="22">
                  <c:v>3.2215090210877602</c:v>
                </c:pt>
                <c:pt idx="23">
                  <c:v>3.7560037612169599</c:v>
                </c:pt>
                <c:pt idx="24">
                  <c:v>4.3791788760884698</c:v>
                </c:pt>
                <c:pt idx="25">
                  <c:v>5.1057477169740597</c:v>
                </c:pt>
                <c:pt idx="26">
                  <c:v>5.9528647920111002</c:v>
                </c:pt>
                <c:pt idx="27">
                  <c:v>6.9405307892821302</c:v>
                </c:pt>
                <c:pt idx="28">
                  <c:v>8.0920647990560592</c:v>
                </c:pt>
                <c:pt idx="29">
                  <c:v>9.4346548844998406</c:v>
                </c:pt>
                <c:pt idx="30">
                  <c:v>11</c:v>
                </c:pt>
                <c:pt idx="31">
                  <c:v>12.825058412978199</c:v>
                </c:pt>
                <c:pt idx="32">
                  <c:v>14.9529202996638</c:v>
                </c:pt>
                <c:pt idx="33">
                  <c:v>17.433825117072299</c:v>
                </c:pt>
                <c:pt idx="34">
                  <c:v>20.326347771645199</c:v>
                </c:pt>
                <c:pt idx="35">
                  <c:v>23.698781590350698</c:v>
                </c:pt>
              </c:numCache>
            </c:numRef>
          </c:xVal>
          <c:yVal>
            <c:numRef>
              <c:f>Summary!$L$4:$L$39</c:f>
              <c:numCache>
                <c:formatCode>0.00</c:formatCode>
                <c:ptCount val="36"/>
                <c:pt idx="0">
                  <c:v>4.39139111284313</c:v>
                </c:pt>
                <c:pt idx="1">
                  <c:v>4.1148216083885103</c:v>
                </c:pt>
                <c:pt idx="2">
                  <c:v>4.0801160045786098</c:v>
                </c:pt>
                <c:pt idx="3">
                  <c:v>4.0434634444238799</c:v>
                </c:pt>
                <c:pt idx="4">
                  <c:v>4.0056324921346098</c:v>
                </c:pt>
                <c:pt idx="5">
                  <c:v>3.96766691320548</c:v>
                </c:pt>
                <c:pt idx="6">
                  <c:v>3.9308349738653101</c:v>
                </c:pt>
                <c:pt idx="7">
                  <c:v>3.8965512554815098</c:v>
                </c:pt>
                <c:pt idx="8">
                  <c:v>3.8661878543345698</c:v>
                </c:pt>
                <c:pt idx="9">
                  <c:v>3.8407635774030102</c:v>
                </c:pt>
                <c:pt idx="10">
                  <c:v>3.8209346433793101</c:v>
                </c:pt>
                <c:pt idx="11">
                  <c:v>3.8068053005048199</c:v>
                </c:pt>
                <c:pt idx="12">
                  <c:v>3.7978461026809498</c:v>
                </c:pt>
                <c:pt idx="13">
                  <c:v>3.79325195126165</c:v>
                </c:pt>
                <c:pt idx="14">
                  <c:v>3.7920035219441202</c:v>
                </c:pt>
                <c:pt idx="15">
                  <c:v>3.7930356818872002</c:v>
                </c:pt>
                <c:pt idx="16">
                  <c:v>3.79537479423142</c:v>
                </c:pt>
                <c:pt idx="17">
                  <c:v>3.7982065946540802</c:v>
                </c:pt>
                <c:pt idx="18">
                  <c:v>3.8008915528982898</c:v>
                </c:pt>
                <c:pt idx="19">
                  <c:v>3.8029404870841099</c:v>
                </c:pt>
                <c:pt idx="20">
                  <c:v>3.8039796072494498</c:v>
                </c:pt>
                <c:pt idx="21">
                  <c:v>3.8037162184301101</c:v>
                </c:pt>
                <c:pt idx="22">
                  <c:v>3.8019072384333601</c:v>
                </c:pt>
                <c:pt idx="23">
                  <c:v>3.7983364041800298</c:v>
                </c:pt>
                <c:pt idx="24">
                  <c:v>3.7927998214217502</c:v>
                </c:pt>
                <c:pt idx="25">
                  <c:v>3.7850940056316098</c:v>
                </c:pt>
                <c:pt idx="26">
                  <c:v>3.7750087998287101</c:v>
                </c:pt>
                <c:pt idx="27">
                  <c:v>3.7623254779423099</c:v>
                </c:pt>
                <c:pt idx="28">
                  <c:v>3.7468168148449301</c:v>
                </c:pt>
                <c:pt idx="29">
                  <c:v>3.7282474190086301</c:v>
                </c:pt>
                <c:pt idx="30">
                  <c:v>3.70637726407349</c:v>
                </c:pt>
                <c:pt idx="31">
                  <c:v>3.6809661066831501</c:v>
                </c:pt>
                <c:pt idx="32">
                  <c:v>3.6517746991829898</c:v>
                </c:pt>
                <c:pt idx="33">
                  <c:v>3.6185649636325499</c:v>
                </c:pt>
                <c:pt idx="34">
                  <c:v>3.5811302211963101</c:v>
                </c:pt>
                <c:pt idx="35">
                  <c:v>3.5392796943907801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73-4F3C-B21E-B61E554DB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172831"/>
        <c:axId val="1772555280"/>
      </c:scatterChart>
      <c:scatterChart>
        <c:scatterStyle val="lineMarker"/>
        <c:varyColors val="0"/>
        <c:ser>
          <c:idx val="0"/>
          <c:order val="1"/>
          <c:tx>
            <c:v>Experiment - Control</c:v>
          </c:tx>
          <c:spPr>
            <a:ln w="25400">
              <a:noFill/>
            </a:ln>
            <a:effectLst/>
          </c:spPr>
          <c:marker>
            <c:spPr>
              <a:ln>
                <a:solidFill>
                  <a:srgbClr val="002060"/>
                </a:solidFill>
              </a:ln>
            </c:spPr>
          </c:marker>
          <c:xVal>
            <c:numRef>
              <c:f>Summary!$O$4:$O$14</c:f>
              <c:numCache>
                <c:formatCode>0.00</c:formatCode>
                <c:ptCount val="11"/>
                <c:pt idx="0">
                  <c:v>0</c:v>
                </c:pt>
                <c:pt idx="1">
                  <c:v>0.21918369893731052</c:v>
                </c:pt>
                <c:pt idx="2">
                  <c:v>0.47429915179877158</c:v>
                </c:pt>
                <c:pt idx="3">
                  <c:v>1.0012982093529621</c:v>
                </c:pt>
                <c:pt idx="4">
                  <c:v>2.1547075103181563</c:v>
                </c:pt>
                <c:pt idx="5">
                  <c:v>3.3823757693932595</c:v>
                </c:pt>
                <c:pt idx="6">
                  <c:v>4.6297690642163074</c:v>
                </c:pt>
                <c:pt idx="7">
                  <c:v>7.2222825387540217</c:v>
                </c:pt>
                <c:pt idx="8">
                  <c:v>9.9141153281868135</c:v>
                </c:pt>
                <c:pt idx="9">
                  <c:v>15.926151064313803</c:v>
                </c:pt>
                <c:pt idx="10">
                  <c:v>21.637126288942088</c:v>
                </c:pt>
              </c:numCache>
            </c:numRef>
          </c:xVal>
          <c:yVal>
            <c:numRef>
              <c:f>Summary!$P$4:$P$14</c:f>
              <c:numCache>
                <c:formatCode>0.00</c:formatCode>
                <c:ptCount val="11"/>
                <c:pt idx="0">
                  <c:v>0</c:v>
                </c:pt>
                <c:pt idx="1">
                  <c:v>0.12178053959410444</c:v>
                </c:pt>
                <c:pt idx="2">
                  <c:v>0.2525125610441622</c:v>
                </c:pt>
                <c:pt idx="3">
                  <c:v>0.56988865540994227</c:v>
                </c:pt>
                <c:pt idx="4">
                  <c:v>0.9315427798358864</c:v>
                </c:pt>
                <c:pt idx="5">
                  <c:v>1.5014311741381108</c:v>
                </c:pt>
                <c:pt idx="6">
                  <c:v>1.8032745344263881</c:v>
                </c:pt>
                <c:pt idx="7">
                  <c:v>2.1164965679650258</c:v>
                </c:pt>
                <c:pt idx="8">
                  <c:v>1.9533147186887445</c:v>
                </c:pt>
                <c:pt idx="9">
                  <c:v>2.1870755053034179</c:v>
                </c:pt>
                <c:pt idx="10">
                  <c:v>2.2274610224599156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73-4F3C-B21E-B61E554DB99F}"/>
            </c:ext>
          </c:extLst>
        </c:ser>
        <c:ser>
          <c:idx val="1"/>
          <c:order val="3"/>
          <c:tx>
            <c:v>Experiment - Cofeed</c:v>
          </c:tx>
          <c:spPr>
            <a:ln w="25400">
              <a:noFill/>
            </a:ln>
            <a:effectLst/>
          </c:spPr>
          <c:marker>
            <c:spPr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xVal>
            <c:numRef>
              <c:f>Summary!$Q$4:$Q$14</c:f>
              <c:numCache>
                <c:formatCode>0.00</c:formatCode>
                <c:ptCount val="11"/>
                <c:pt idx="0">
                  <c:v>0</c:v>
                </c:pt>
                <c:pt idx="1">
                  <c:v>0.21749777794572531</c:v>
                </c:pt>
                <c:pt idx="2">
                  <c:v>0.46974807829848569</c:v>
                </c:pt>
                <c:pt idx="3">
                  <c:v>1.0026677030703459</c:v>
                </c:pt>
                <c:pt idx="4">
                  <c:v>2.1661326616288834</c:v>
                </c:pt>
                <c:pt idx="5">
                  <c:v>3.3971780781332197</c:v>
                </c:pt>
                <c:pt idx="6">
                  <c:v>4.6151413237924865</c:v>
                </c:pt>
                <c:pt idx="7">
                  <c:v>7.3209746330165304</c:v>
                </c:pt>
                <c:pt idx="8">
                  <c:v>9.932742124573501</c:v>
                </c:pt>
                <c:pt idx="9">
                  <c:v>15.730107869185108</c:v>
                </c:pt>
                <c:pt idx="10">
                  <c:v>21.604784563177571</c:v>
                </c:pt>
              </c:numCache>
            </c:numRef>
          </c:xVal>
          <c:yVal>
            <c:numRef>
              <c:f>Summary!$R$4:$R$14</c:f>
              <c:numCache>
                <c:formatCode>0.00</c:formatCode>
                <c:ptCount val="11"/>
                <c:pt idx="0">
                  <c:v>4.3913004933454127</c:v>
                </c:pt>
                <c:pt idx="1">
                  <c:v>4.2385165135368617</c:v>
                </c:pt>
                <c:pt idx="2">
                  <c:v>4.1436977876293559</c:v>
                </c:pt>
                <c:pt idx="3">
                  <c:v>4.1168852367553335</c:v>
                </c:pt>
                <c:pt idx="4">
                  <c:v>3.925755318760181</c:v>
                </c:pt>
                <c:pt idx="5">
                  <c:v>3.8914164354245879</c:v>
                </c:pt>
                <c:pt idx="6">
                  <c:v>3.8751655717400495</c:v>
                </c:pt>
                <c:pt idx="7">
                  <c:v>3.8305663475339848</c:v>
                </c:pt>
                <c:pt idx="8">
                  <c:v>3.633961149423429</c:v>
                </c:pt>
                <c:pt idx="9">
                  <c:v>3.6123168550229559</c:v>
                </c:pt>
                <c:pt idx="10">
                  <c:v>3.4266346077138481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73-4F3C-B21E-B61E554DB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172831"/>
        <c:axId val="1772555280"/>
      </c:scatterChart>
      <c:valAx>
        <c:axId val="1599172831"/>
        <c:scaling>
          <c:orientation val="minMax"/>
          <c:max val="25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l-GR"/>
                  <a:t>τ (</a:t>
                </a:r>
                <a:r>
                  <a:rPr lang="en-US"/>
                  <a:t>h kg</a:t>
                </a:r>
                <a:r>
                  <a:rPr lang="en-US" baseline="-25000"/>
                  <a:t>cat</a:t>
                </a:r>
                <a:r>
                  <a:rPr lang="en-US"/>
                  <a:t> kmol</a:t>
                </a:r>
                <a:r>
                  <a:rPr lang="en-US" baseline="-25000"/>
                  <a:t>gas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72555280"/>
        <c:crosses val="autoZero"/>
        <c:crossBetween val="midCat"/>
      </c:valAx>
      <c:valAx>
        <c:axId val="177255528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Liquid phase concentration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99172831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1894553611065684"/>
          <c:y val="0.20912605090022757"/>
          <c:w val="0.37435337274235375"/>
          <c:h val="0.4890433435844703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solidFill>
        <a:schemeClr val="bg1"/>
      </a:solidFill>
    </a:ln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69206747228652"/>
          <c:y val="4.9677796394676878E-2"/>
          <c:w val="0.51886171517845703"/>
          <c:h val="0.76718440259923726"/>
        </c:manualLayout>
      </c:layout>
      <c:scatterChart>
        <c:scatterStyle val="lineMarker"/>
        <c:varyColors val="0"/>
        <c:ser>
          <c:idx val="1"/>
          <c:order val="1"/>
          <c:tx>
            <c:v>Experiments</c:v>
          </c:tx>
          <c:spPr>
            <a:ln w="19050">
              <a:noFill/>
            </a:ln>
          </c:spPr>
          <c:marker>
            <c:spPr>
              <a:solidFill>
                <a:schemeClr val="accent1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Summary!$O$4:$O$14</c:f>
              <c:numCache>
                <c:formatCode>0.00</c:formatCode>
                <c:ptCount val="11"/>
                <c:pt idx="0">
                  <c:v>0</c:v>
                </c:pt>
                <c:pt idx="1">
                  <c:v>0.21918369893731052</c:v>
                </c:pt>
                <c:pt idx="2">
                  <c:v>0.47429915179877158</c:v>
                </c:pt>
                <c:pt idx="3">
                  <c:v>1.0012982093529621</c:v>
                </c:pt>
                <c:pt idx="4">
                  <c:v>2.1547075103181563</c:v>
                </c:pt>
                <c:pt idx="5">
                  <c:v>3.3823757693932595</c:v>
                </c:pt>
                <c:pt idx="6">
                  <c:v>4.6297690642163074</c:v>
                </c:pt>
                <c:pt idx="7">
                  <c:v>7.2222825387540217</c:v>
                </c:pt>
                <c:pt idx="8">
                  <c:v>9.9141153281868135</c:v>
                </c:pt>
                <c:pt idx="9">
                  <c:v>15.926151064313803</c:v>
                </c:pt>
                <c:pt idx="10">
                  <c:v>21.637126288942088</c:v>
                </c:pt>
              </c:numCache>
            </c:numRef>
          </c:xVal>
          <c:yVal>
            <c:numRef>
              <c:f>Summary!$S$4:$S$14</c:f>
              <c:numCache>
                <c:formatCode>0.00</c:formatCode>
                <c:ptCount val="11"/>
                <c:pt idx="0">
                  <c:v>0</c:v>
                </c:pt>
                <c:pt idx="1">
                  <c:v>35.668707012178153</c:v>
                </c:pt>
                <c:pt idx="2">
                  <c:v>16.11738479255693</c:v>
                </c:pt>
                <c:pt idx="3">
                  <c:v>7.3551528337503642</c:v>
                </c:pt>
                <c:pt idx="4">
                  <c:v>4.1852266187625711</c:v>
                </c:pt>
                <c:pt idx="5">
                  <c:v>2.5544480639962566</c:v>
                </c:pt>
                <c:pt idx="6">
                  <c:v>2.2113024999177662</c:v>
                </c:pt>
                <c:pt idx="7">
                  <c:v>1.7551502722292893</c:v>
                </c:pt>
                <c:pt idx="8">
                  <c:v>1.9324162937260967</c:v>
                </c:pt>
                <c:pt idx="9">
                  <c:v>1.6827359662026815</c:v>
                </c:pt>
                <c:pt idx="10">
                  <c:v>1.5943778875304921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AF-4349-BAAE-404CD4A0A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172831"/>
        <c:axId val="1772555280"/>
      </c:scatterChart>
      <c:scatterChart>
        <c:scatterStyle val="smoothMarker"/>
        <c:varyColors val="0"/>
        <c:ser>
          <c:idx val="3"/>
          <c:order val="0"/>
          <c:tx>
            <c:v>Model</c:v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Summary!$J$4:$J$39</c:f>
              <c:numCache>
                <c:formatCode>0.00</c:formatCode>
                <c:ptCount val="36"/>
                <c:pt idx="0">
                  <c:v>0</c:v>
                </c:pt>
                <c:pt idx="1">
                  <c:v>0.12825058412978099</c:v>
                </c:pt>
                <c:pt idx="2">
                  <c:v>0.14952920299663799</c:v>
                </c:pt>
                <c:pt idx="3">
                  <c:v>0.17433825117072199</c:v>
                </c:pt>
                <c:pt idx="4">
                  <c:v>0.20326347771645201</c:v>
                </c:pt>
                <c:pt idx="5">
                  <c:v>0.23698781590350701</c:v>
                </c:pt>
                <c:pt idx="6">
                  <c:v>0.27630750746605398</c:v>
                </c:pt>
                <c:pt idx="7">
                  <c:v>0.322150902108776</c:v>
                </c:pt>
                <c:pt idx="8">
                  <c:v>0.375600376121696</c:v>
                </c:pt>
                <c:pt idx="9">
                  <c:v>0.43791788760884698</c:v>
                </c:pt>
                <c:pt idx="10">
                  <c:v>0.51057477169740595</c:v>
                </c:pt>
                <c:pt idx="11">
                  <c:v>0.59528647920111</c:v>
                </c:pt>
                <c:pt idx="12">
                  <c:v>0.694053078928213</c:v>
                </c:pt>
                <c:pt idx="13">
                  <c:v>0.80920647990560601</c:v>
                </c:pt>
                <c:pt idx="14">
                  <c:v>0.94346548844998401</c:v>
                </c:pt>
                <c:pt idx="15">
                  <c:v>1.1000000000000001</c:v>
                </c:pt>
                <c:pt idx="16">
                  <c:v>1.2825058412978101</c:v>
                </c:pt>
                <c:pt idx="17">
                  <c:v>1.4952920299663801</c:v>
                </c:pt>
                <c:pt idx="18">
                  <c:v>1.7433825117072199</c:v>
                </c:pt>
                <c:pt idx="19">
                  <c:v>2.0326347771645201</c:v>
                </c:pt>
                <c:pt idx="20">
                  <c:v>2.3698781590350699</c:v>
                </c:pt>
                <c:pt idx="21">
                  <c:v>2.7630750746605401</c:v>
                </c:pt>
                <c:pt idx="22">
                  <c:v>3.2215090210877602</c:v>
                </c:pt>
                <c:pt idx="23">
                  <c:v>3.7560037612169599</c:v>
                </c:pt>
                <c:pt idx="24">
                  <c:v>4.3791788760884698</c:v>
                </c:pt>
                <c:pt idx="25">
                  <c:v>5.1057477169740597</c:v>
                </c:pt>
                <c:pt idx="26">
                  <c:v>5.9528647920111002</c:v>
                </c:pt>
                <c:pt idx="27">
                  <c:v>6.9405307892821302</c:v>
                </c:pt>
                <c:pt idx="28">
                  <c:v>8.0920647990560592</c:v>
                </c:pt>
                <c:pt idx="29">
                  <c:v>9.4346548844998406</c:v>
                </c:pt>
                <c:pt idx="30">
                  <c:v>11</c:v>
                </c:pt>
                <c:pt idx="31">
                  <c:v>12.825058412978199</c:v>
                </c:pt>
                <c:pt idx="32">
                  <c:v>14.9529202996638</c:v>
                </c:pt>
                <c:pt idx="33">
                  <c:v>17.433825117072299</c:v>
                </c:pt>
                <c:pt idx="34">
                  <c:v>20.326347771645199</c:v>
                </c:pt>
                <c:pt idx="35">
                  <c:v>23.698781590350698</c:v>
                </c:pt>
              </c:numCache>
            </c:numRef>
          </c:xVal>
          <c:yVal>
            <c:numRef>
              <c:f>Summary!$M$4:$M$39</c:f>
              <c:numCache>
                <c:formatCode>0.000</c:formatCode>
                <c:ptCount val="3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75.79607686070743</c:v>
                </c:pt>
                <c:pt idx="9">
                  <c:v>47.338472793900159</c:v>
                </c:pt>
                <c:pt idx="10">
                  <c:v>30.950795248765374</c:v>
                </c:pt>
                <c:pt idx="11">
                  <c:v>21.220545195755218</c:v>
                </c:pt>
                <c:pt idx="12">
                  <c:v>15.234038015811695</c:v>
                </c:pt>
                <c:pt idx="13">
                  <c:v>11.418324436764676</c:v>
                </c:pt>
                <c:pt idx="14">
                  <c:v>8.8933212964443928</c:v>
                </c:pt>
                <c:pt idx="15">
                  <c:v>7.1609403188190646</c:v>
                </c:pt>
                <c:pt idx="16">
                  <c:v>5.9310723331258339</c:v>
                </c:pt>
                <c:pt idx="17">
                  <c:v>5.0296220217726271</c:v>
                </c:pt>
                <c:pt idx="18">
                  <c:v>4.3495681311743422</c:v>
                </c:pt>
                <c:pt idx="19">
                  <c:v>3.8233029617902567</c:v>
                </c:pt>
                <c:pt idx="20">
                  <c:v>3.4069627950154913</c:v>
                </c:pt>
                <c:pt idx="21">
                  <c:v>3.0711384064211344</c:v>
                </c:pt>
                <c:pt idx="22">
                  <c:v>2.7958738295430448</c:v>
                </c:pt>
                <c:pt idx="23">
                  <c:v>2.5671122616848483</c:v>
                </c:pt>
                <c:pt idx="24">
                  <c:v>2.3747842830428678</c:v>
                </c:pt>
                <c:pt idx="25">
                  <c:v>2.2115006800160701</c:v>
                </c:pt>
                <c:pt idx="26">
                  <c:v>2.0717489314296844</c:v>
                </c:pt>
                <c:pt idx="27">
                  <c:v>1.9513450086825768</c:v>
                </c:pt>
                <c:pt idx="28">
                  <c:v>1.8470813300905813</c:v>
                </c:pt>
                <c:pt idx="29">
                  <c:v>1.7564116313968958</c:v>
                </c:pt>
                <c:pt idx="30">
                  <c:v>1.6772659978932525</c:v>
                </c:pt>
                <c:pt idx="31">
                  <c:v>1.6080768764447031</c:v>
                </c:pt>
                <c:pt idx="32">
                  <c:v>1.5475827319594175</c:v>
                </c:pt>
                <c:pt idx="33">
                  <c:v>1.4947564227977486</c:v>
                </c:pt>
                <c:pt idx="34">
                  <c:v>1.4487569791238177</c:v>
                </c:pt>
                <c:pt idx="35">
                  <c:v>1.4088021019859072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AF-4349-BAAE-404CD4A0A68C}"/>
            </c:ext>
          </c:extLst>
        </c:ser>
        <c:ser>
          <c:idx val="0"/>
          <c:order val="2"/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25</c:v>
              </c:pt>
            </c:numLit>
          </c:xVal>
          <c:y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DBAF-4349-BAAE-404CD4A0A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172831"/>
        <c:axId val="1772555280"/>
      </c:scatterChart>
      <c:valAx>
        <c:axId val="1599172831"/>
        <c:scaling>
          <c:orientation val="minMax"/>
          <c:max val="25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l-GR"/>
                  <a:t>τ (</a:t>
                </a:r>
                <a:r>
                  <a:rPr lang="en-US"/>
                  <a:t>h kg</a:t>
                </a:r>
                <a:r>
                  <a:rPr lang="en-US" baseline="-25000"/>
                  <a:t>cat</a:t>
                </a:r>
                <a:r>
                  <a:rPr lang="en-US"/>
                  <a:t> kmol</a:t>
                </a:r>
                <a:r>
                  <a:rPr lang="en-US" baseline="-25000"/>
                  <a:t>gas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72555280"/>
        <c:crossesAt val="0.1"/>
        <c:crossBetween val="midCat"/>
      </c:valAx>
      <c:valAx>
        <c:axId val="1772555280"/>
        <c:scaling>
          <c:logBase val="10"/>
          <c:orientation val="minMax"/>
          <c:min val="0.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</a:t>
                </a:r>
                <a:r>
                  <a:rPr lang="en-US" baseline="0"/>
                  <a:t> concentration Cofeed/control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99172831"/>
        <c:crosses val="autoZero"/>
        <c:crossBetween val="midCat"/>
      </c:valAx>
      <c:spPr>
        <a:ln>
          <a:solidFill>
            <a:sysClr val="windowText" lastClr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9813681293269136"/>
          <c:y val="0.4432276388809947"/>
          <c:w val="0.25636944530725431"/>
          <c:h val="0.2588896275116950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solidFill>
        <a:schemeClr val="bg1"/>
      </a:solidFill>
    </a:ln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4</xdr:row>
      <xdr:rowOff>10461</xdr:rowOff>
    </xdr:from>
    <xdr:to>
      <xdr:col>9</xdr:col>
      <xdr:colOff>0</xdr:colOff>
      <xdr:row>18</xdr:row>
      <xdr:rowOff>41413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D338A0-6C36-13DF-5C11-A8B26AE84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221204</xdr:colOff>
      <xdr:row>3</xdr:row>
      <xdr:rowOff>13522</xdr:rowOff>
    </xdr:from>
    <xdr:to>
      <xdr:col>3</xdr:col>
      <xdr:colOff>221204</xdr:colOff>
      <xdr:row>4</xdr:row>
      <xdr:rowOff>158301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A227824-1FD2-834A-D12A-349E4E64AE4C}"/>
            </a:ext>
          </a:extLst>
        </xdr:cNvPr>
        <xdr:cNvCxnSpPr/>
      </xdr:nvCxnSpPr>
      <xdr:spPr>
        <a:xfrm flipV="1">
          <a:off x="2042160" y="611169"/>
          <a:ext cx="0" cy="3315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160862</xdr:colOff>
      <xdr:row>18</xdr:row>
      <xdr:rowOff>124561</xdr:rowOff>
    </xdr:from>
    <xdr:to>
      <xdr:col>8</xdr:col>
      <xdr:colOff>282258</xdr:colOff>
      <xdr:row>31</xdr:row>
      <xdr:rowOff>124562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458463-50EE-48C3-9B2F-4A1BB27EF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janaf.nist.gov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3049-8AB0-4C35-A2D5-0159FC30E050}">
  <dimension ref="C2:X39"/>
  <sheetViews>
    <sheetView tabSelected="1" zoomScaleNormal="100" workbookViewId="0">
      <selection activeCell="D3" sqref="D3"/>
    </sheetView>
  </sheetViews>
  <sheetFormatPr defaultColWidth="9.109375" defaultRowHeight="14.4" x14ac:dyDescent="0.3"/>
  <cols>
    <col min="1" max="3" width="9.109375" style="2"/>
    <col min="4" max="4" width="16.44140625" style="2" bestFit="1" customWidth="1"/>
    <col min="5" max="9" width="9.109375" style="2"/>
    <col min="10" max="10" width="16.6640625" style="2" bestFit="1" customWidth="1"/>
    <col min="11" max="12" width="13.6640625" style="2" bestFit="1" customWidth="1"/>
    <col min="13" max="13" width="15" style="2" bestFit="1" customWidth="1"/>
    <col min="14" max="14" width="9.109375" style="2"/>
    <col min="15" max="15" width="15.44140625" style="2" bestFit="1" customWidth="1"/>
    <col min="16" max="16" width="11" style="2" bestFit="1" customWidth="1"/>
    <col min="17" max="17" width="15.44140625" style="2" bestFit="1" customWidth="1"/>
    <col min="18" max="18" width="20.88671875" style="2" bestFit="1" customWidth="1"/>
    <col min="19" max="19" width="20.88671875" style="2" customWidth="1"/>
    <col min="20" max="22" width="9.109375" style="2"/>
    <col min="23" max="23" width="18.33203125" style="2" customWidth="1"/>
    <col min="24" max="16384" width="9.109375" style="2"/>
  </cols>
  <sheetData>
    <row r="2" spans="3:24" x14ac:dyDescent="0.3">
      <c r="K2" s="2" t="s">
        <v>140</v>
      </c>
      <c r="L2" s="2" t="s">
        <v>175</v>
      </c>
      <c r="O2" s="108" t="s">
        <v>140</v>
      </c>
      <c r="P2" s="108"/>
      <c r="Q2" s="108" t="s">
        <v>175</v>
      </c>
      <c r="R2" s="108"/>
    </row>
    <row r="3" spans="3:24" ht="18" x14ac:dyDescent="0.3">
      <c r="C3" s="1" t="s">
        <v>176</v>
      </c>
      <c r="D3" s="45" t="s">
        <v>15</v>
      </c>
      <c r="J3" s="39" t="s">
        <v>177</v>
      </c>
      <c r="K3" s="42" t="str">
        <f>+$D$3&amp;" (M)"</f>
        <v>1-butanol (M)</v>
      </c>
      <c r="L3" s="42" t="str">
        <f>+$D$3&amp;" (M)"</f>
        <v>1-butanol (M)</v>
      </c>
      <c r="M3" s="42" t="s">
        <v>181</v>
      </c>
      <c r="O3" s="39" t="s">
        <v>177</v>
      </c>
      <c r="P3" s="42" t="str">
        <f>+$D$3&amp;" (M)"</f>
        <v>1-butanol (M)</v>
      </c>
      <c r="Q3" s="39" t="s">
        <v>142</v>
      </c>
      <c r="R3" s="42" t="str">
        <f>+$D$3&amp;" (M)"</f>
        <v>1-butanol (M)</v>
      </c>
      <c r="S3" s="42" t="str">
        <f>+M3</f>
        <v>Cofeed/Control</v>
      </c>
    </row>
    <row r="4" spans="3:24" x14ac:dyDescent="0.3">
      <c r="J4" s="41">
        <f>+'Control Model'!A4</f>
        <v>0</v>
      </c>
      <c r="K4" s="41">
        <f>+SUMIF('Control Model'!$2:$2,Summary!$D$3,'Control Model'!4:4)</f>
        <v>0</v>
      </c>
      <c r="L4" s="41">
        <f>+SUMIF('Cofeed Model'!$2:$2,Summary!$D$3,'Cofeed Model'!4:4)</f>
        <v>4.39139111284313</v>
      </c>
      <c r="O4" s="41" cm="1">
        <f t="array" ref="O4:O14">+TRANSPOSE('Raw data Control Experiments'!F4:P4)</f>
        <v>0</v>
      </c>
      <c r="P4" s="41">
        <f>+SUMIF('Raw data Control Experiments'!$C$23:$C$73,Summary!$D$3,'Raw data Control Experiments'!F23:F73)/'Raw data Control Experiments'!F16</f>
        <v>0</v>
      </c>
      <c r="Q4" s="41" cm="1">
        <f t="array" ref="Q4:Q14">+TRANSPOSE('Raw data Cofeed Experiments'!F4:P4)</f>
        <v>0</v>
      </c>
      <c r="R4" s="41">
        <f>+SUMIF('Raw data Cofeed Experiments'!$C$20:$C$75,Summary!$D$3,'Raw data Cofeed Experiments'!F20:F75)/'Raw data Cofeed Experiments'!F16</f>
        <v>4.3913004933454127</v>
      </c>
      <c r="S4" s="41" t="str">
        <f>IF(ISNUMBER(R4/P4),R4/P4,"")</f>
        <v/>
      </c>
    </row>
    <row r="5" spans="3:24" x14ac:dyDescent="0.3">
      <c r="J5" s="41">
        <f>+'Control Model'!A5</f>
        <v>0.12825058412978099</v>
      </c>
      <c r="K5" s="41">
        <f>+SUMIF('Control Model'!$2:$2,Summary!$D$3,'Control Model'!5:5)</f>
        <v>8.1265771678388902E-4</v>
      </c>
      <c r="L5" s="41">
        <f>+SUMIF('Cofeed Model'!$2:$2,Summary!$D$3,'Cofeed Model'!5:5)</f>
        <v>4.1148216083885103</v>
      </c>
      <c r="M5" s="47">
        <f>IF(L5/K5&gt;100,,L5/K5)</f>
        <v>0</v>
      </c>
      <c r="O5" s="41">
        <v>0.21918369893731052</v>
      </c>
      <c r="P5" s="41">
        <f>+SUMIF('Raw data Control Experiments'!$C$23:$C$73,Summary!$D$3,'Raw data Control Experiments'!G23:G73)/'Raw data Control Experiments'!G16</f>
        <v>0.12178053959410444</v>
      </c>
      <c r="Q5" s="41">
        <v>0.21749777794572531</v>
      </c>
      <c r="R5" s="41">
        <f>+SUMIF('Raw data Cofeed Experiments'!$C$20:$C$75,Summary!$D$3,'Raw data Cofeed Experiments'!G20:G75)/'Raw data Cofeed Experiments'!G16</f>
        <v>4.2385165135368617</v>
      </c>
      <c r="S5" s="41">
        <f>IF(ISNUMBER(SUMIF('Raw data Cofeed Experiments'!$C$20:$C$75,Summary!$D$3,'Raw data Cofeed Experiments'!G20:G75)/SUMIF('Raw data Control Experiments'!$C$23:$C$73,Summary!$D$3,'Raw data Control Experiments'!G23:G73)),SUMIF('Raw data Cofeed Experiments'!$C$20:$C$75,Summary!$D$3,'Raw data Cofeed Experiments'!G20:G75)/SUMIF('Raw data Control Experiments'!$C$23:$C$73,Summary!$D$3,'Raw data Control Experiments'!G23:G73),"")</f>
        <v>35.668707012178153</v>
      </c>
    </row>
    <row r="6" spans="3:24" x14ac:dyDescent="0.3">
      <c r="J6" s="41">
        <f>+'Control Model'!A6</f>
        <v>0.14952920299663799</v>
      </c>
      <c r="K6" s="41">
        <f>+SUMIF('Control Model'!$2:$2,Summary!$D$3,'Control Model'!6:6)</f>
        <v>1.5643591191414599E-3</v>
      </c>
      <c r="L6" s="41">
        <f>+SUMIF('Cofeed Model'!$2:$2,Summary!$D$3,'Cofeed Model'!6:6)</f>
        <v>4.0801160045786098</v>
      </c>
      <c r="M6" s="47">
        <f t="shared" ref="M6:M39" si="0">IF(L6/K6&gt;100,,L6/K6)</f>
        <v>0</v>
      </c>
      <c r="O6" s="41">
        <v>0.47429915179877158</v>
      </c>
      <c r="P6" s="41">
        <f>+SUMIF('Raw data Control Experiments'!$C$23:$C$73,Summary!$D$3,'Raw data Control Experiments'!H23:H73)/'Raw data Control Experiments'!H16</f>
        <v>0.2525125610441622</v>
      </c>
      <c r="Q6" s="41">
        <v>0.46974807829848569</v>
      </c>
      <c r="R6" s="41">
        <f>+SUMIF('Raw data Cofeed Experiments'!$C$20:$C$75,Summary!$D$3,'Raw data Cofeed Experiments'!H20:H75)/'Raw data Cofeed Experiments'!H16</f>
        <v>4.1436977876293559</v>
      </c>
      <c r="S6" s="41">
        <f>IF(ISNUMBER(SUMIF('Raw data Cofeed Experiments'!$C$20:$C$75,Summary!$D$3,'Raw data Cofeed Experiments'!H20:H75)/SUMIF('Raw data Control Experiments'!$C$23:$C$73,Summary!$D$3,'Raw data Control Experiments'!H23:H73)),SUMIF('Raw data Cofeed Experiments'!$C$20:$C$75,Summary!$D$3,'Raw data Cofeed Experiments'!H20:H75)/SUMIF('Raw data Control Experiments'!$C$23:$C$73,Summary!$D$3,'Raw data Control Experiments'!H23:H73),"")</f>
        <v>16.11738479255693</v>
      </c>
      <c r="T6" s="41"/>
      <c r="U6" s="41"/>
      <c r="V6" s="41"/>
      <c r="W6" s="41"/>
      <c r="X6" s="41" t="str">
        <f>IF(ISNUMBER(SUMIF('Raw data Cofeed Experiments'!$C$20:$C$75,Summary!$D$3,'Raw data Cofeed Experiments'!Q20:Q75)/SUMIF('Raw data Control Experiments'!$C$23:$C$73,Summary!$D$3,'Raw data Control Experiments'!Q23:Q73)),SUMIF('Raw data Cofeed Experiments'!$C$20:$C$75,Summary!$D$3,'Raw data Cofeed Experiments'!Q20:Q75)/SUMIF('Raw data Control Experiments'!$C$23:$C$73,Summary!$D$3,'Raw data Control Experiments'!Q23:Q73),"")</f>
        <v/>
      </c>
    </row>
    <row r="7" spans="3:24" x14ac:dyDescent="0.3">
      <c r="J7" s="41">
        <f>+'Control Model'!A7</f>
        <v>0.17433825117072199</v>
      </c>
      <c r="K7" s="41">
        <f>+SUMIF('Control Model'!$2:$2,Summary!$D$3,'Control Model'!7:7)</f>
        <v>2.9647384143299598E-3</v>
      </c>
      <c r="L7" s="41">
        <f>+SUMIF('Cofeed Model'!$2:$2,Summary!$D$3,'Cofeed Model'!7:7)</f>
        <v>4.0434634444238799</v>
      </c>
      <c r="M7" s="47">
        <f t="shared" si="0"/>
        <v>0</v>
      </c>
      <c r="O7" s="41">
        <v>1.0012982093529621</v>
      </c>
      <c r="P7" s="41">
        <f>+SUMIF('Raw data Control Experiments'!$C$23:$C$73,Summary!$D$3,'Raw data Control Experiments'!I23:I73)/'Raw data Control Experiments'!I16</f>
        <v>0.56988865540994227</v>
      </c>
      <c r="Q7" s="41">
        <v>1.0026677030703459</v>
      </c>
      <c r="R7" s="41">
        <f>+SUMIF('Raw data Cofeed Experiments'!$C$20:$C$75,Summary!$D$3,'Raw data Cofeed Experiments'!I20:I75)/'Raw data Cofeed Experiments'!I16</f>
        <v>4.1168852367553335</v>
      </c>
      <c r="S7" s="41">
        <f>IF(ISNUMBER(SUMIF('Raw data Cofeed Experiments'!$C$20:$C$75,Summary!$D$3,'Raw data Cofeed Experiments'!I20:I75)/SUMIF('Raw data Control Experiments'!$C$23:$C$73,Summary!$D$3,'Raw data Control Experiments'!I23:I73)),SUMIF('Raw data Cofeed Experiments'!$C$20:$C$75,Summary!$D$3,'Raw data Cofeed Experiments'!I20:I75)/SUMIF('Raw data Control Experiments'!$C$23:$C$73,Summary!$D$3,'Raw data Control Experiments'!I23:I73),"")</f>
        <v>7.3551528337503642</v>
      </c>
    </row>
    <row r="8" spans="3:24" x14ac:dyDescent="0.3">
      <c r="J8" s="41">
        <f>+'Control Model'!A8</f>
        <v>0.20326347771645201</v>
      </c>
      <c r="K8" s="41">
        <f>+SUMIF('Control Model'!$2:$2,Summary!$D$3,'Control Model'!8:8)</f>
        <v>5.5236201604611599E-3</v>
      </c>
      <c r="L8" s="41">
        <f>+SUMIF('Cofeed Model'!$2:$2,Summary!$D$3,'Cofeed Model'!8:8)</f>
        <v>4.0056324921346098</v>
      </c>
      <c r="M8" s="47">
        <f t="shared" si="0"/>
        <v>0</v>
      </c>
      <c r="O8" s="41">
        <v>2.1547075103181563</v>
      </c>
      <c r="P8" s="41">
        <f>+SUMIF('Raw data Control Experiments'!$C$23:$C$73,Summary!$D$3,'Raw data Control Experiments'!J23:J73)/'Raw data Control Experiments'!J16</f>
        <v>0.9315427798358864</v>
      </c>
      <c r="Q8" s="41">
        <v>2.1661326616288834</v>
      </c>
      <c r="R8" s="41">
        <f>+SUMIF('Raw data Cofeed Experiments'!$C$20:$C$75,Summary!$D$3,'Raw data Cofeed Experiments'!J20:J75)/'Raw data Cofeed Experiments'!J16</f>
        <v>3.925755318760181</v>
      </c>
      <c r="S8" s="41">
        <f>IF(ISNUMBER(SUMIF('Raw data Cofeed Experiments'!$C$20:$C$75,Summary!$D$3,'Raw data Cofeed Experiments'!J20:J75)/SUMIF('Raw data Control Experiments'!$C$23:$C$73,Summary!$D$3,'Raw data Control Experiments'!J23:J73)),SUMIF('Raw data Cofeed Experiments'!$C$20:$C$75,Summary!$D$3,'Raw data Cofeed Experiments'!J20:J75)/SUMIF('Raw data Control Experiments'!$C$23:$C$73,Summary!$D$3,'Raw data Control Experiments'!J23:J73),"")</f>
        <v>4.1852266187625711</v>
      </c>
    </row>
    <row r="9" spans="3:24" x14ac:dyDescent="0.3">
      <c r="J9" s="41">
        <f>+'Control Model'!A9</f>
        <v>0.23698781590350701</v>
      </c>
      <c r="K9" s="41">
        <f>+SUMIF('Control Model'!$2:$2,Summary!$D$3,'Control Model'!9:9)</f>
        <v>1.00716013806519E-2</v>
      </c>
      <c r="L9" s="41">
        <f>+SUMIF('Cofeed Model'!$2:$2,Summary!$D$3,'Cofeed Model'!9:9)</f>
        <v>3.96766691320548</v>
      </c>
      <c r="M9" s="47">
        <f t="shared" si="0"/>
        <v>0</v>
      </c>
      <c r="O9" s="41">
        <v>3.3823757693932595</v>
      </c>
      <c r="P9" s="41">
        <f>+SUMIF('Raw data Control Experiments'!$C$23:$C$73,Summary!$D$3,'Raw data Control Experiments'!K23:K73)/'Raw data Control Experiments'!K16</f>
        <v>1.5014311741381108</v>
      </c>
      <c r="Q9" s="41">
        <v>3.3971780781332197</v>
      </c>
      <c r="R9" s="41">
        <f>+SUMIF('Raw data Cofeed Experiments'!$C$20:$C$75,Summary!$D$3,'Raw data Cofeed Experiments'!K20:K75)/'Raw data Cofeed Experiments'!K16</f>
        <v>3.8914164354245879</v>
      </c>
      <c r="S9" s="41">
        <f>IF(ISNUMBER(SUMIF('Raw data Cofeed Experiments'!$C$20:$C$75,Summary!$D$3,'Raw data Cofeed Experiments'!K20:K75)/SUMIF('Raw data Control Experiments'!$C$23:$C$73,Summary!$D$3,'Raw data Control Experiments'!K23:K73)),SUMIF('Raw data Cofeed Experiments'!$C$20:$C$75,Summary!$D$3,'Raw data Cofeed Experiments'!K20:K75)/SUMIF('Raw data Control Experiments'!$C$23:$C$73,Summary!$D$3,'Raw data Control Experiments'!K23:K73),"")</f>
        <v>2.5544480639962566</v>
      </c>
    </row>
    <row r="10" spans="3:24" x14ac:dyDescent="0.3">
      <c r="J10" s="41">
        <f>+'Control Model'!A10</f>
        <v>0.27630750746605398</v>
      </c>
      <c r="K10" s="41">
        <f>+SUMIF('Control Model'!$2:$2,Summary!$D$3,'Control Model'!10:10)</f>
        <v>1.7880739859312801E-2</v>
      </c>
      <c r="L10" s="41">
        <f>+SUMIF('Cofeed Model'!$2:$2,Summary!$D$3,'Cofeed Model'!10:10)</f>
        <v>3.9308349738653101</v>
      </c>
      <c r="M10" s="47">
        <f t="shared" si="0"/>
        <v>0</v>
      </c>
      <c r="O10" s="41">
        <v>4.6297690642163074</v>
      </c>
      <c r="P10" s="41">
        <f>+SUMIF('Raw data Control Experiments'!$C$23:$C$73,Summary!$D$3,'Raw data Control Experiments'!L23:L73)/'Raw data Control Experiments'!L16</f>
        <v>1.8032745344263881</v>
      </c>
      <c r="Q10" s="41">
        <v>4.6151413237924865</v>
      </c>
      <c r="R10" s="41">
        <f>+SUMIF('Raw data Cofeed Experiments'!$C$20:$C$75,Summary!$D$3,'Raw data Cofeed Experiments'!L20:L75)/'Raw data Cofeed Experiments'!L16</f>
        <v>3.8751655717400495</v>
      </c>
      <c r="S10" s="41">
        <f>IF(ISNUMBER(SUMIF('Raw data Cofeed Experiments'!$C$20:$C$75,Summary!$D$3,'Raw data Cofeed Experiments'!L20:L75)/SUMIF('Raw data Control Experiments'!$C$23:$C$73,Summary!$D$3,'Raw data Control Experiments'!L23:L73)),SUMIF('Raw data Cofeed Experiments'!$C$20:$C$75,Summary!$D$3,'Raw data Cofeed Experiments'!L20:L75)/SUMIF('Raw data Control Experiments'!$C$23:$C$73,Summary!$D$3,'Raw data Control Experiments'!L23:L73),"")</f>
        <v>2.2113024999177662</v>
      </c>
    </row>
    <row r="11" spans="3:24" x14ac:dyDescent="0.3">
      <c r="J11" s="41">
        <f>+'Control Model'!A11</f>
        <v>0.322150902108776</v>
      </c>
      <c r="K11" s="41">
        <f>+SUMIF('Control Model'!$2:$2,Summary!$D$3,'Control Model'!11:11)</f>
        <v>3.0762690728971101E-2</v>
      </c>
      <c r="L11" s="41">
        <f>+SUMIF('Cofeed Model'!$2:$2,Summary!$D$3,'Cofeed Model'!11:11)</f>
        <v>3.8965512554815098</v>
      </c>
      <c r="M11" s="47">
        <f t="shared" si="0"/>
        <v>0</v>
      </c>
      <c r="O11" s="41">
        <v>7.2222825387540217</v>
      </c>
      <c r="P11" s="41">
        <f>+SUMIF('Raw data Control Experiments'!$C$23:$C$73,Summary!$D$3,'Raw data Control Experiments'!M23:M73)/'Raw data Control Experiments'!M16</f>
        <v>2.1164965679650258</v>
      </c>
      <c r="Q11" s="41">
        <v>7.3209746330165304</v>
      </c>
      <c r="R11" s="41">
        <f>+SUMIF('Raw data Cofeed Experiments'!$C$20:$C$75,Summary!$D$3,'Raw data Cofeed Experiments'!M20:M75)/'Raw data Cofeed Experiments'!M16</f>
        <v>3.8305663475339848</v>
      </c>
      <c r="S11" s="41">
        <f>IF(ISNUMBER(SUMIF('Raw data Cofeed Experiments'!$C$20:$C$75,Summary!$D$3,'Raw data Cofeed Experiments'!M20:M75)/SUMIF('Raw data Control Experiments'!$C$23:$C$73,Summary!$D$3,'Raw data Control Experiments'!M23:M73)),SUMIF('Raw data Cofeed Experiments'!$C$20:$C$75,Summary!$D$3,'Raw data Cofeed Experiments'!M20:M75)/SUMIF('Raw data Control Experiments'!$C$23:$C$73,Summary!$D$3,'Raw data Control Experiments'!M23:M73),"")</f>
        <v>1.7551502722292893</v>
      </c>
    </row>
    <row r="12" spans="3:24" x14ac:dyDescent="0.3">
      <c r="J12" s="41">
        <f>+'Control Model'!A12</f>
        <v>0.375600376121696</v>
      </c>
      <c r="K12" s="41">
        <f>+SUMIF('Control Model'!$2:$2,Summary!$D$3,'Control Model'!12:12)</f>
        <v>5.1007756792473199E-2</v>
      </c>
      <c r="L12" s="41">
        <f>+SUMIF('Cofeed Model'!$2:$2,Summary!$D$3,'Cofeed Model'!12:12)</f>
        <v>3.8661878543345698</v>
      </c>
      <c r="M12" s="47">
        <f t="shared" si="0"/>
        <v>75.79607686070743</v>
      </c>
      <c r="O12" s="41">
        <v>9.9141153281868135</v>
      </c>
      <c r="P12" s="41">
        <f>+SUMIF('Raw data Control Experiments'!$C$23:$C$73,Summary!$D$3,'Raw data Control Experiments'!N23:N73)/'Raw data Control Experiments'!N16</f>
        <v>1.9533147186887445</v>
      </c>
      <c r="Q12" s="41">
        <v>9.932742124573501</v>
      </c>
      <c r="R12" s="41">
        <f>+SUMIF('Raw data Cofeed Experiments'!$C$20:$C$75,Summary!$D$3,'Raw data Cofeed Experiments'!N20:N75)/'Raw data Cofeed Experiments'!N16</f>
        <v>3.633961149423429</v>
      </c>
      <c r="S12" s="41">
        <f>IF(ISNUMBER(SUMIF('Raw data Cofeed Experiments'!$C$20:$C$75,Summary!$D$3,'Raw data Cofeed Experiments'!N20:N75)/SUMIF('Raw data Control Experiments'!$C$23:$C$73,Summary!$D$3,'Raw data Control Experiments'!N23:N73)),SUMIF('Raw data Cofeed Experiments'!$C$20:$C$75,Summary!$D$3,'Raw data Cofeed Experiments'!N20:N75)/SUMIF('Raw data Control Experiments'!$C$23:$C$73,Summary!$D$3,'Raw data Control Experiments'!N23:N73),"")</f>
        <v>1.9324162937260967</v>
      </c>
    </row>
    <row r="13" spans="3:24" x14ac:dyDescent="0.3">
      <c r="J13" s="41">
        <f>+'Control Model'!A13</f>
        <v>0.43791788760884698</v>
      </c>
      <c r="K13" s="41">
        <f>+SUMIF('Control Model'!$2:$2,Summary!$D$3,'Control Model'!13:13)</f>
        <v>8.1134082929221904E-2</v>
      </c>
      <c r="L13" s="41">
        <f>+SUMIF('Cofeed Model'!$2:$2,Summary!$D$3,'Cofeed Model'!13:13)</f>
        <v>3.8407635774030102</v>
      </c>
      <c r="M13" s="47">
        <f t="shared" si="0"/>
        <v>47.338472793900159</v>
      </c>
      <c r="O13" s="41">
        <v>15.926151064313803</v>
      </c>
      <c r="P13" s="41">
        <f>+SUMIF('Raw data Control Experiments'!$C$23:$C$73,Summary!$D$3,'Raw data Control Experiments'!O23:O73)/'Raw data Control Experiments'!O16</f>
        <v>2.1870755053034179</v>
      </c>
      <c r="Q13" s="41">
        <v>15.730107869185108</v>
      </c>
      <c r="R13" s="41">
        <f>+SUMIF('Raw data Cofeed Experiments'!$C$20:$C$75,Summary!$D$3,'Raw data Cofeed Experiments'!O20:O75)/'Raw data Cofeed Experiments'!O16</f>
        <v>3.6123168550229559</v>
      </c>
      <c r="S13" s="41">
        <f>IF(ISNUMBER(SUMIF('Raw data Cofeed Experiments'!$C$20:$C$75,Summary!$D$3,'Raw data Cofeed Experiments'!O20:O75)/SUMIF('Raw data Control Experiments'!$C$23:$C$73,Summary!$D$3,'Raw data Control Experiments'!O23:O73)),SUMIF('Raw data Cofeed Experiments'!$C$20:$C$75,Summary!$D$3,'Raw data Cofeed Experiments'!O20:O75)/SUMIF('Raw data Control Experiments'!$C$23:$C$73,Summary!$D$3,'Raw data Control Experiments'!O23:O73),"")</f>
        <v>1.6827359662026815</v>
      </c>
    </row>
    <row r="14" spans="3:24" x14ac:dyDescent="0.3">
      <c r="J14" s="41">
        <f>+'Control Model'!A14</f>
        <v>0.51057477169740595</v>
      </c>
      <c r="K14" s="41">
        <f>+SUMIF('Control Model'!$2:$2,Summary!$D$3,'Control Model'!14:14)</f>
        <v>0.123451905279614</v>
      </c>
      <c r="L14" s="41">
        <f>+SUMIF('Cofeed Model'!$2:$2,Summary!$D$3,'Cofeed Model'!14:14)</f>
        <v>3.8209346433793101</v>
      </c>
      <c r="M14" s="47">
        <f t="shared" si="0"/>
        <v>30.950795248765374</v>
      </c>
      <c r="O14" s="41">
        <v>21.637126288942088</v>
      </c>
      <c r="P14" s="41">
        <f>+SUMIF('Raw data Control Experiments'!$C$23:$C$73,Summary!$D$3,'Raw data Control Experiments'!P23:P73)/'Raw data Control Experiments'!P16</f>
        <v>2.2274610224599156</v>
      </c>
      <c r="Q14" s="41">
        <v>21.604784563177571</v>
      </c>
      <c r="R14" s="41">
        <f>+SUMIF('Raw data Cofeed Experiments'!$C$20:$C$75,Summary!$D$3,'Raw data Cofeed Experiments'!P20:P75)/'Raw data Cofeed Experiments'!P16</f>
        <v>3.4266346077138481</v>
      </c>
      <c r="S14" s="41">
        <f>IF(ISNUMBER(SUMIF('Raw data Cofeed Experiments'!$C$20:$C$75,Summary!$D$3,'Raw data Cofeed Experiments'!P20:P75)/SUMIF('Raw data Control Experiments'!$C$23:$C$73,Summary!$D$3,'Raw data Control Experiments'!P23:P73)),SUMIF('Raw data Cofeed Experiments'!$C$20:$C$75,Summary!$D$3,'Raw data Cofeed Experiments'!P20:P75)/SUMIF('Raw data Control Experiments'!$C$23:$C$73,Summary!$D$3,'Raw data Control Experiments'!P23:P73),"")</f>
        <v>1.5943778875304921</v>
      </c>
      <c r="T14" s="41"/>
    </row>
    <row r="15" spans="3:24" x14ac:dyDescent="0.3">
      <c r="J15" s="41">
        <f>+'Control Model'!A15</f>
        <v>0.59528647920111</v>
      </c>
      <c r="K15" s="41">
        <f>+SUMIF('Control Model'!$2:$2,Summary!$D$3,'Control Model'!15:15)</f>
        <v>0.17939243621630899</v>
      </c>
      <c r="L15" s="41">
        <f>+SUMIF('Cofeed Model'!$2:$2,Summary!$D$3,'Cofeed Model'!15:15)</f>
        <v>3.8068053005048199</v>
      </c>
      <c r="M15" s="47">
        <f t="shared" si="0"/>
        <v>21.220545195755218</v>
      </c>
    </row>
    <row r="16" spans="3:24" x14ac:dyDescent="0.3">
      <c r="J16" s="41">
        <f>+'Control Model'!A16</f>
        <v>0.694053078928213</v>
      </c>
      <c r="K16" s="41">
        <f>+SUMIF('Control Model'!$2:$2,Summary!$D$3,'Control Model'!16:16)</f>
        <v>0.249300027920312</v>
      </c>
      <c r="L16" s="41">
        <f>+SUMIF('Cofeed Model'!$2:$2,Summary!$D$3,'Cofeed Model'!16:16)</f>
        <v>3.7978461026809498</v>
      </c>
      <c r="M16" s="47">
        <f t="shared" si="0"/>
        <v>15.234038015811695</v>
      </c>
    </row>
    <row r="17" spans="10:20" x14ac:dyDescent="0.3">
      <c r="J17" s="41">
        <f>+'Control Model'!A17</f>
        <v>0.80920647990560601</v>
      </c>
      <c r="K17" s="41">
        <f>+SUMIF('Control Model'!$2:$2,Summary!$D$3,'Control Model'!17:17)</f>
        <v>0.33220740681077099</v>
      </c>
      <c r="L17" s="41">
        <f>+SUMIF('Cofeed Model'!$2:$2,Summary!$D$3,'Cofeed Model'!17:17)</f>
        <v>3.79325195126165</v>
      </c>
      <c r="M17" s="47">
        <f t="shared" si="0"/>
        <v>11.418324436764676</v>
      </c>
    </row>
    <row r="18" spans="10:20" x14ac:dyDescent="0.3">
      <c r="J18" s="41">
        <f>+'Control Model'!A18</f>
        <v>0.94346548844998401</v>
      </c>
      <c r="K18" s="41">
        <f>+SUMIF('Control Model'!$2:$2,Summary!$D$3,'Control Model'!18:18)</f>
        <v>0.42638777972186698</v>
      </c>
      <c r="L18" s="41">
        <f>+SUMIF('Cofeed Model'!$2:$2,Summary!$D$3,'Cofeed Model'!18:18)</f>
        <v>3.7920035219441202</v>
      </c>
      <c r="M18" s="47">
        <f t="shared" si="0"/>
        <v>8.8933212964443928</v>
      </c>
    </row>
    <row r="19" spans="10:20" x14ac:dyDescent="0.3">
      <c r="J19" s="41">
        <f>+'Control Model'!A19</f>
        <v>1.1000000000000001</v>
      </c>
      <c r="K19" s="41">
        <f>+SUMIF('Control Model'!$2:$2,Summary!$D$3,'Control Model'!19:19)</f>
        <v>0.52968402374741796</v>
      </c>
      <c r="L19" s="41">
        <f>+SUMIF('Cofeed Model'!$2:$2,Summary!$D$3,'Cofeed Model'!19:19)</f>
        <v>3.7930356818872002</v>
      </c>
      <c r="M19" s="47">
        <f t="shared" si="0"/>
        <v>7.1609403188190646</v>
      </c>
    </row>
    <row r="20" spans="10:20" x14ac:dyDescent="0.3">
      <c r="J20" s="41">
        <f>+'Control Model'!A20</f>
        <v>1.2825058412978101</v>
      </c>
      <c r="K20" s="41">
        <f>+SUMIF('Control Model'!$2:$2,Summary!$D$3,'Control Model'!20:20)</f>
        <v>0.63991375944510798</v>
      </c>
      <c r="L20" s="41">
        <f>+SUMIF('Cofeed Model'!$2:$2,Summary!$D$3,'Cofeed Model'!20:20)</f>
        <v>3.79537479423142</v>
      </c>
      <c r="M20" s="47">
        <f t="shared" si="0"/>
        <v>5.9310723331258339</v>
      </c>
    </row>
    <row r="21" spans="10:20" x14ac:dyDescent="0.3">
      <c r="J21" s="41">
        <f>+'Control Model'!A21</f>
        <v>1.4952920299663801</v>
      </c>
      <c r="K21" s="41">
        <f>+SUMIF('Control Model'!$2:$2,Summary!$D$3,'Control Model'!21:21)</f>
        <v>0.75516740188668297</v>
      </c>
      <c r="L21" s="41">
        <f>+SUMIF('Cofeed Model'!$2:$2,Summary!$D$3,'Cofeed Model'!21:21)</f>
        <v>3.7982065946540802</v>
      </c>
      <c r="M21" s="47">
        <f t="shared" si="0"/>
        <v>5.0296220217726271</v>
      </c>
    </row>
    <row r="22" spans="10:20" x14ac:dyDescent="0.3">
      <c r="J22" s="41">
        <f>+'Control Model'!A22</f>
        <v>1.7433825117072199</v>
      </c>
      <c r="K22" s="41">
        <f>+SUMIF('Control Model'!$2:$2,Summary!$D$3,'Control Model'!22:22)</f>
        <v>0.87385492956333699</v>
      </c>
      <c r="L22" s="41">
        <f>+SUMIF('Cofeed Model'!$2:$2,Summary!$D$3,'Cofeed Model'!22:22)</f>
        <v>3.8008915528982898</v>
      </c>
      <c r="M22" s="47">
        <f t="shared" si="0"/>
        <v>4.3495681311743422</v>
      </c>
    </row>
    <row r="23" spans="10:20" x14ac:dyDescent="0.3">
      <c r="J23" s="41">
        <f>+'Control Model'!A23</f>
        <v>2.0326347771645201</v>
      </c>
      <c r="K23" s="41">
        <f>+SUMIF('Control Model'!$2:$2,Summary!$D$3,'Control Model'!23:23)</f>
        <v>0.99467411426464303</v>
      </c>
      <c r="L23" s="41">
        <f>+SUMIF('Cofeed Model'!$2:$2,Summary!$D$3,'Cofeed Model'!23:23)</f>
        <v>3.8029404870841099</v>
      </c>
      <c r="M23" s="47">
        <f t="shared" si="0"/>
        <v>3.8233029617902567</v>
      </c>
    </row>
    <row r="24" spans="10:20" x14ac:dyDescent="0.3">
      <c r="J24" s="41">
        <f>+'Control Model'!A24</f>
        <v>2.3698781590350699</v>
      </c>
      <c r="K24" s="41">
        <f>+SUMIF('Control Model'!$2:$2,Summary!$D$3,'Control Model'!24:24)</f>
        <v>1.11653100903092</v>
      </c>
      <c r="L24" s="41">
        <f>+SUMIF('Cofeed Model'!$2:$2,Summary!$D$3,'Cofeed Model'!24:24)</f>
        <v>3.8039796072494498</v>
      </c>
      <c r="M24" s="47">
        <f t="shared" si="0"/>
        <v>3.4069627950154913</v>
      </c>
    </row>
    <row r="25" spans="10:20" x14ac:dyDescent="0.3">
      <c r="J25" s="41">
        <f>+'Control Model'!A25</f>
        <v>2.7630750746605401</v>
      </c>
      <c r="K25" s="41">
        <f>+SUMIF('Control Model'!$2:$2,Summary!$D$3,'Control Model'!25:25)</f>
        <v>1.23853624130951</v>
      </c>
      <c r="L25" s="41">
        <f>+SUMIF('Cofeed Model'!$2:$2,Summary!$D$3,'Cofeed Model'!25:25)</f>
        <v>3.8037162184301101</v>
      </c>
      <c r="M25" s="47">
        <f t="shared" si="0"/>
        <v>3.0711384064211344</v>
      </c>
    </row>
    <row r="26" spans="10:20" x14ac:dyDescent="0.3">
      <c r="J26" s="41">
        <f>+'Control Model'!A26</f>
        <v>3.2215090210877602</v>
      </c>
      <c r="K26" s="41">
        <f>+SUMIF('Control Model'!$2:$2,Summary!$D$3,'Control Model'!26:26)</f>
        <v>1.3598279000503899</v>
      </c>
      <c r="L26" s="41">
        <f>+SUMIF('Cofeed Model'!$2:$2,Summary!$D$3,'Cofeed Model'!26:26)</f>
        <v>3.8019072384333601</v>
      </c>
      <c r="M26" s="47">
        <f t="shared" si="0"/>
        <v>2.7958738295430448</v>
      </c>
    </row>
    <row r="27" spans="10:20" x14ac:dyDescent="0.3">
      <c r="J27" s="41">
        <f>+'Control Model'!A27</f>
        <v>3.7560037612169599</v>
      </c>
      <c r="K27" s="41">
        <f>+SUMIF('Control Model'!$2:$2,Summary!$D$3,'Control Model'!27:27)</f>
        <v>1.4796144527341799</v>
      </c>
      <c r="L27" s="41">
        <f>+SUMIF('Cofeed Model'!$2:$2,Summary!$D$3,'Cofeed Model'!27:27)</f>
        <v>3.7983364041800298</v>
      </c>
      <c r="M27" s="47">
        <f t="shared" si="0"/>
        <v>2.5671122616848483</v>
      </c>
    </row>
    <row r="28" spans="10:20" x14ac:dyDescent="0.3">
      <c r="J28" s="41">
        <f>+'Control Model'!A28</f>
        <v>4.3791788760884698</v>
      </c>
      <c r="K28" s="41">
        <f>+SUMIF('Control Model'!$2:$2,Summary!$D$3,'Control Model'!28:28)</f>
        <v>1.59711340878589</v>
      </c>
      <c r="L28" s="41">
        <f>+SUMIF('Cofeed Model'!$2:$2,Summary!$D$3,'Cofeed Model'!28:28)</f>
        <v>3.7927998214217502</v>
      </c>
      <c r="M28" s="47">
        <f t="shared" si="0"/>
        <v>2.3747842830428678</v>
      </c>
    </row>
    <row r="29" spans="10:20" x14ac:dyDescent="0.3">
      <c r="J29" s="41">
        <f>+'Control Model'!A29</f>
        <v>5.1057477169740597</v>
      </c>
      <c r="K29" s="41">
        <f>+SUMIF('Control Model'!$2:$2,Summary!$D$3,'Control Model'!29:29)</f>
        <v>1.7115500075740899</v>
      </c>
      <c r="L29" s="41">
        <f>+SUMIF('Cofeed Model'!$2:$2,Summary!$D$3,'Cofeed Model'!29:29)</f>
        <v>3.7850940056316098</v>
      </c>
      <c r="M29" s="47">
        <f t="shared" si="0"/>
        <v>2.2115006800160701</v>
      </c>
    </row>
    <row r="30" spans="10:20" x14ac:dyDescent="0.3">
      <c r="J30" s="41">
        <f>+'Control Model'!A30</f>
        <v>5.9528647920111002</v>
      </c>
      <c r="K30" s="41">
        <f>+SUMIF('Control Model'!$2:$2,Summary!$D$3,'Control Model'!30:30)</f>
        <v>1.82213623598861</v>
      </c>
      <c r="L30" s="41">
        <f>+SUMIF('Cofeed Model'!$2:$2,Summary!$D$3,'Cofeed Model'!30:30)</f>
        <v>3.7750087998287101</v>
      </c>
      <c r="M30" s="47">
        <f t="shared" si="0"/>
        <v>2.0717489314296844</v>
      </c>
      <c r="Q30" s="41"/>
      <c r="R30" s="41"/>
      <c r="S30" s="41"/>
      <c r="T30" s="41"/>
    </row>
    <row r="31" spans="10:20" x14ac:dyDescent="0.3">
      <c r="J31" s="41">
        <f>+'Control Model'!A31</f>
        <v>6.9405307892821302</v>
      </c>
      <c r="K31" s="41">
        <f>+SUMIF('Control Model'!$2:$2,Summary!$D$3,'Control Model'!31:31)</f>
        <v>1.9280678000054901</v>
      </c>
      <c r="L31" s="41">
        <f>+SUMIF('Cofeed Model'!$2:$2,Summary!$D$3,'Cofeed Model'!31:31)</f>
        <v>3.7623254779423099</v>
      </c>
      <c r="M31" s="47">
        <f t="shared" si="0"/>
        <v>1.9513450086825768</v>
      </c>
    </row>
    <row r="32" spans="10:20" x14ac:dyDescent="0.3">
      <c r="J32" s="41">
        <f>+'Control Model'!A32</f>
        <v>8.0920647990560592</v>
      </c>
      <c r="K32" s="41">
        <f>+SUMIF('Control Model'!$2:$2,Summary!$D$3,'Control Model'!32:32)</f>
        <v>2.02850667905413</v>
      </c>
      <c r="L32" s="41">
        <f>+SUMIF('Cofeed Model'!$2:$2,Summary!$D$3,'Cofeed Model'!32:32)</f>
        <v>3.7468168148449301</v>
      </c>
      <c r="M32" s="47">
        <f t="shared" si="0"/>
        <v>1.8470813300905813</v>
      </c>
    </row>
    <row r="33" spans="10:13" x14ac:dyDescent="0.3">
      <c r="J33" s="41">
        <f>+'Control Model'!A33</f>
        <v>9.4346548844998406</v>
      </c>
      <c r="K33" s="41">
        <f>+SUMIF('Control Model'!$2:$2,Summary!$D$3,'Control Model'!33:33)</f>
        <v>2.1226501535084399</v>
      </c>
      <c r="L33" s="41">
        <f>+SUMIF('Cofeed Model'!$2:$2,Summary!$D$3,'Cofeed Model'!33:33)</f>
        <v>3.7282474190086301</v>
      </c>
      <c r="M33" s="47">
        <f t="shared" si="0"/>
        <v>1.7564116313968958</v>
      </c>
    </row>
    <row r="34" spans="10:13" x14ac:dyDescent="0.3">
      <c r="J34" s="41">
        <f>+'Control Model'!A34</f>
        <v>11</v>
      </c>
      <c r="K34" s="41">
        <f>+SUMIF('Control Model'!$2:$2,Summary!$D$3,'Control Model'!34:34)</f>
        <v>2.2097730883049702</v>
      </c>
      <c r="L34" s="41">
        <f>+SUMIF('Cofeed Model'!$2:$2,Summary!$D$3,'Cofeed Model'!34:34)</f>
        <v>3.70637726407349</v>
      </c>
      <c r="M34" s="47">
        <f t="shared" si="0"/>
        <v>1.6772659978932525</v>
      </c>
    </row>
    <row r="35" spans="10:13" x14ac:dyDescent="0.3">
      <c r="J35" s="41">
        <f>+'Control Model'!A35</f>
        <v>12.825058412978199</v>
      </c>
      <c r="K35" s="41">
        <f>+SUMIF('Control Model'!$2:$2,Summary!$D$3,'Control Model'!35:35)</f>
        <v>2.28904859002848</v>
      </c>
      <c r="L35" s="41">
        <f>+SUMIF('Cofeed Model'!$2:$2,Summary!$D$3,'Cofeed Model'!35:35)</f>
        <v>3.6809661066831501</v>
      </c>
      <c r="M35" s="47">
        <f t="shared" si="0"/>
        <v>1.6080768764447031</v>
      </c>
    </row>
    <row r="36" spans="10:13" x14ac:dyDescent="0.3">
      <c r="J36" s="41">
        <f>+'Control Model'!A36</f>
        <v>14.9529202996638</v>
      </c>
      <c r="K36" s="41">
        <f>+SUMIF('Control Model'!$2:$2,Summary!$D$3,'Control Model'!36:36)</f>
        <v>2.35966363785891</v>
      </c>
      <c r="L36" s="41">
        <f>+SUMIF('Cofeed Model'!$2:$2,Summary!$D$3,'Cofeed Model'!36:36)</f>
        <v>3.6517746991829898</v>
      </c>
      <c r="M36" s="47">
        <f t="shared" si="0"/>
        <v>1.5475827319594175</v>
      </c>
    </row>
    <row r="37" spans="10:13" x14ac:dyDescent="0.3">
      <c r="J37" s="41">
        <f>+'Control Model'!A37</f>
        <v>17.433825117072299</v>
      </c>
      <c r="K37" s="41">
        <f>+SUMIF('Control Model'!$2:$2,Summary!$D$3,'Control Model'!37:37)</f>
        <v>2.42083921396347</v>
      </c>
      <c r="L37" s="41">
        <f>+SUMIF('Cofeed Model'!$2:$2,Summary!$D$3,'Cofeed Model'!37:37)</f>
        <v>3.6185649636325499</v>
      </c>
      <c r="M37" s="47">
        <f t="shared" si="0"/>
        <v>1.4947564227977486</v>
      </c>
    </row>
    <row r="38" spans="10:13" x14ac:dyDescent="0.3">
      <c r="J38" s="41">
        <f>+'Control Model'!A38</f>
        <v>20.326347771645199</v>
      </c>
      <c r="K38" s="41">
        <f>+SUMIF('Control Model'!$2:$2,Summary!$D$3,'Control Model'!38:38)</f>
        <v>2.4718639998284</v>
      </c>
      <c r="L38" s="41">
        <f>+SUMIF('Cofeed Model'!$2:$2,Summary!$D$3,'Cofeed Model'!38:38)</f>
        <v>3.5811302211963101</v>
      </c>
      <c r="M38" s="47">
        <f t="shared" si="0"/>
        <v>1.4487569791238177</v>
      </c>
    </row>
    <row r="39" spans="10:13" x14ac:dyDescent="0.3">
      <c r="J39" s="41">
        <f>+'Control Model'!A39</f>
        <v>23.698781590350698</v>
      </c>
      <c r="K39" s="41">
        <f>+SUMIF('Control Model'!$2:$2,Summary!$D$3,'Control Model'!39:39)</f>
        <v>2.51226179276824</v>
      </c>
      <c r="L39" s="41">
        <f>+SUMIF('Cofeed Model'!$2:$2,Summary!$D$3,'Cofeed Model'!39:39)</f>
        <v>3.5392796943907801</v>
      </c>
      <c r="M39" s="47">
        <f t="shared" si="0"/>
        <v>1.4088021019859072</v>
      </c>
    </row>
  </sheetData>
  <mergeCells count="2">
    <mergeCell ref="O2:P2"/>
    <mergeCell ref="Q2:R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ED0C97-C8EB-421E-B8CB-47E297D64DA5}">
          <x14:formula1>
            <xm:f>'Matrix of Reactions'!$AP$12:$AP$49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BC1A-E4F2-4D01-AEE1-0A4F1F156B16}">
  <dimension ref="B2:W76"/>
  <sheetViews>
    <sheetView zoomScaleNormal="100" workbookViewId="0">
      <selection activeCell="C63" sqref="C63"/>
    </sheetView>
  </sheetViews>
  <sheetFormatPr defaultColWidth="9.109375" defaultRowHeight="14.4" x14ac:dyDescent="0.3"/>
  <cols>
    <col min="1" max="1" width="4.6640625" style="2" customWidth="1"/>
    <col min="2" max="2" width="11.109375" style="2" customWidth="1"/>
    <col min="3" max="3" width="21.6640625" style="1" customWidth="1"/>
    <col min="4" max="4" width="10.6640625" style="2" customWidth="1"/>
    <col min="5" max="5" width="19.33203125" style="2" customWidth="1"/>
    <col min="6" max="6" width="10.6640625" style="2" bestFit="1" customWidth="1"/>
    <col min="7" max="16" width="10.6640625" style="5" bestFit="1" customWidth="1"/>
    <col min="17" max="16384" width="9.109375" style="2"/>
  </cols>
  <sheetData>
    <row r="2" spans="2:16" ht="15.6" x14ac:dyDescent="0.3">
      <c r="B2" s="34" t="s">
        <v>74</v>
      </c>
      <c r="E2" s="38" t="s">
        <v>60</v>
      </c>
      <c r="F2" s="15"/>
      <c r="G2" s="15">
        <f>3*LOG10(G4)</f>
        <v>-1.9876355268982322</v>
      </c>
      <c r="H2" s="15">
        <f t="shared" ref="H2:P2" si="0">3*LOG10(H4)</f>
        <v>-0.98440496366253805</v>
      </c>
      <c r="I2" s="15">
        <f t="shared" si="0"/>
        <v>3.4710783210688441E-3</v>
      </c>
      <c r="J2" s="15">
        <f t="shared" si="0"/>
        <v>1.0070551525037761</v>
      </c>
      <c r="K2" s="15">
        <f t="shared" si="0"/>
        <v>1.5933549388057449</v>
      </c>
      <c r="L2" s="15">
        <f t="shared" si="0"/>
        <v>1.9925550132928387</v>
      </c>
      <c r="M2" s="15">
        <f t="shared" si="0"/>
        <v>2.5937067061114329</v>
      </c>
      <c r="N2" s="15">
        <f t="shared" si="0"/>
        <v>2.9912074811876073</v>
      </c>
      <c r="O2" s="15">
        <f t="shared" si="0"/>
        <v>3.5901951024212719</v>
      </c>
      <c r="P2" s="15">
        <f t="shared" si="0"/>
        <v>4.0036498200200157</v>
      </c>
    </row>
    <row r="3" spans="2:16" ht="18" customHeight="1" x14ac:dyDescent="0.25">
      <c r="B3" s="34" t="s">
        <v>75</v>
      </c>
      <c r="C3" s="2"/>
      <c r="E3" s="4" t="s">
        <v>141</v>
      </c>
      <c r="F3" s="19" t="s">
        <v>59</v>
      </c>
      <c r="G3" s="14">
        <v>118.61564859958169</v>
      </c>
      <c r="H3" s="14">
        <v>54.920160809273419</v>
      </c>
      <c r="I3" s="14">
        <v>25.73</v>
      </c>
      <c r="J3" s="14">
        <v>11.91</v>
      </c>
      <c r="K3" s="14">
        <v>7.5941382543527389</v>
      </c>
      <c r="L3" s="14">
        <v>5.59</v>
      </c>
      <c r="M3" s="14">
        <v>3.5239351716439349</v>
      </c>
      <c r="N3" s="14">
        <v>2.5973331106799233</v>
      </c>
      <c r="O3" s="14">
        <v>1.6400802978941356</v>
      </c>
      <c r="P3" s="14">
        <v>1.19411697555042</v>
      </c>
    </row>
    <row r="4" spans="2:16" ht="15.6" x14ac:dyDescent="0.3">
      <c r="B4" s="35" t="s">
        <v>76</v>
      </c>
      <c r="C4" s="2"/>
      <c r="E4" s="39" t="s">
        <v>178</v>
      </c>
      <c r="F4" s="17">
        <v>0</v>
      </c>
      <c r="G4" s="18">
        <f>1/(G3/46.069*1/0.7*5/4)</f>
        <v>0.21749777794572531</v>
      </c>
      <c r="H4" s="18">
        <f t="shared" ref="H4:P4" si="1">1/(H3/46.069*1/0.7*5/4)</f>
        <v>0.46974807829848569</v>
      </c>
      <c r="I4" s="18">
        <f t="shared" si="1"/>
        <v>1.0026677030703459</v>
      </c>
      <c r="J4" s="18">
        <f t="shared" si="1"/>
        <v>2.1661326616288834</v>
      </c>
      <c r="K4" s="18">
        <f t="shared" si="1"/>
        <v>3.3971780781332197</v>
      </c>
      <c r="L4" s="18">
        <f t="shared" si="1"/>
        <v>4.6151413237924865</v>
      </c>
      <c r="M4" s="18">
        <f t="shared" si="1"/>
        <v>7.3209746330165304</v>
      </c>
      <c r="N4" s="18">
        <f t="shared" si="1"/>
        <v>9.932742124573501</v>
      </c>
      <c r="O4" s="18">
        <f t="shared" si="1"/>
        <v>15.730107869185108</v>
      </c>
      <c r="P4" s="18">
        <f t="shared" si="1"/>
        <v>21.604784563177571</v>
      </c>
    </row>
    <row r="6" spans="2:16" x14ac:dyDescent="0.3">
      <c r="C6" s="3" t="s">
        <v>51</v>
      </c>
      <c r="E6" s="20" t="s">
        <v>61</v>
      </c>
      <c r="F6" s="29">
        <f t="shared" ref="F6:P6" si="2">+SUMPRODUCT(F20:F75,$E$20:$E$75)/SUMPRODUCT($F$20:$F$75,$E$20:$E$75)</f>
        <v>1</v>
      </c>
      <c r="G6" s="29">
        <f t="shared" si="2"/>
        <v>0.99610255111298573</v>
      </c>
      <c r="H6" s="29">
        <f t="shared" si="2"/>
        <v>0.98430531191054516</v>
      </c>
      <c r="I6" s="29">
        <f t="shared" si="2"/>
        <v>0.99753252079771948</v>
      </c>
      <c r="J6" s="29">
        <f t="shared" si="2"/>
        <v>0.98023206310851374</v>
      </c>
      <c r="K6" s="29">
        <f t="shared" si="2"/>
        <v>0.9734319001369347</v>
      </c>
      <c r="L6" s="29">
        <f t="shared" si="2"/>
        <v>0.99222514442701293</v>
      </c>
      <c r="M6" s="29">
        <f t="shared" si="2"/>
        <v>0.94115432370908947</v>
      </c>
      <c r="N6" s="29">
        <f t="shared" si="2"/>
        <v>0.97928391371890811</v>
      </c>
      <c r="O6" s="29">
        <f t="shared" si="2"/>
        <v>0.94441201417943887</v>
      </c>
      <c r="P6" s="29">
        <f t="shared" si="2"/>
        <v>0.95529080986847137</v>
      </c>
    </row>
    <row r="7" spans="2:16" x14ac:dyDescent="0.3">
      <c r="C7" s="2">
        <v>2</v>
      </c>
      <c r="E7" s="1" t="s">
        <v>62</v>
      </c>
      <c r="F7" s="28" cm="1">
        <f t="array" ref="F7">+SUMPRODUCT(IF($D$20:$D$75=$C7,1,0),$E$20:$E$75,F$20:F$75)/SUMPRODUCT($F$20:$F$75,$E$20:$E$75)</f>
        <v>1</v>
      </c>
      <c r="G7" s="28" cm="1">
        <f t="array" ref="G7">+SUMPRODUCT(IF($D$20:$D$75=$C7,1,0),$E$20:$E$75,G$20:G$75)/SUMPRODUCT($F$20:$F$75,$E$20:$E$75)</f>
        <v>0.95468381052497719</v>
      </c>
      <c r="H7" s="28" cm="1">
        <f t="array" ref="H7">+SUMPRODUCT(IF($D$20:$D$75=$C7,1,0),$E$20:$E$75,H$20:H$75)/SUMPRODUCT($F$20:$F$75,$E$20:$E$75)</f>
        <v>0.90445685431397704</v>
      </c>
      <c r="I7" s="28" cm="1">
        <f t="array" ref="I7">+SUMPRODUCT(IF($D$20:$D$75=$C7,1,0),$E$20:$E$75,I$20:I$75)/SUMPRODUCT($F$20:$F$75,$E$20:$E$75)</f>
        <v>0.89300811173300643</v>
      </c>
      <c r="J7" s="28" cm="1">
        <f t="array" ref="J7">+SUMPRODUCT(IF($D$20:$D$75=$C7,1,0),$E$20:$E$75,J$20:J$75)/SUMPRODUCT($F$20:$F$75,$E$20:$E$75)</f>
        <v>0.81480446465350798</v>
      </c>
      <c r="K7" s="28" cm="1">
        <f t="array" ref="K7">+SUMPRODUCT(IF($D$20:$D$75=$C7,1,0),$E$20:$E$75,K$20:K$75)/SUMPRODUCT($F$20:$F$75,$E$20:$E$75)</f>
        <v>0.7867180117391499</v>
      </c>
      <c r="L7" s="28" cm="1">
        <f t="array" ref="L7">+SUMPRODUCT(IF($D$20:$D$75=$C7,1,0),$E$20:$E$75,L$20:L$75)/SUMPRODUCT($F$20:$F$75,$E$20:$E$75)</f>
        <v>0.78160453328586144</v>
      </c>
      <c r="M7" s="28" cm="1">
        <f t="array" ref="M7">+SUMPRODUCT(IF($D$20:$D$75=$C7,1,0),$E$20:$E$75,M$20:M$75)/SUMPRODUCT($F$20:$F$75,$E$20:$E$75)</f>
        <v>0.74703183164414755</v>
      </c>
      <c r="N7" s="28" cm="1">
        <f t="array" ref="N7">+SUMPRODUCT(IF($D$20:$D$75=$C7,1,0),$E$20:$E$75,N$20:N$75)/SUMPRODUCT($F$20:$F$75,$E$20:$E$75)</f>
        <v>0.71766547288630322</v>
      </c>
      <c r="O7" s="28" cm="1">
        <f t="array" ref="O7">+SUMPRODUCT(IF($D$20:$D$75=$C7,1,0),$E$20:$E$75,O$20:O$75)/SUMPRODUCT($F$20:$F$75,$E$20:$E$75)</f>
        <v>0.69360827397110802</v>
      </c>
      <c r="P7" s="28" cm="1">
        <f t="array" ref="P7">+SUMPRODUCT(IF($D$20:$D$75=$C7,1,0),$E$20:$E$75,P$20:P$75)/SUMPRODUCT($F$20:$F$75,$E$20:$E$75)</f>
        <v>0.66279550473864768</v>
      </c>
    </row>
    <row r="8" spans="2:16" x14ac:dyDescent="0.3">
      <c r="C8" s="2">
        <v>3</v>
      </c>
      <c r="E8" s="1" t="s">
        <v>63</v>
      </c>
      <c r="F8" s="28" cm="1">
        <f t="array" ref="F8">+SUMPRODUCT(IF($D$20:$D$75=$C8,1,0),$E$20:$E$75,F$20:F$75)/SUMPRODUCT($F$20:$F$75,$E$20:$E$75)</f>
        <v>0</v>
      </c>
      <c r="G8" s="28" cm="1">
        <f t="array" ref="G8">+SUMPRODUCT(IF($D$20:$D$75=$C8,1,0),$E$20:$E$75,G$20:G$75)/SUMPRODUCT($F$20:$F$75,$E$20:$E$75)</f>
        <v>3.6681603124400247E-2</v>
      </c>
      <c r="H8" s="28" cm="1">
        <f t="array" ref="H8">+SUMPRODUCT(IF($D$20:$D$75=$C8,1,0),$E$20:$E$75,H$20:H$75)/SUMPRODUCT($F$20:$F$75,$E$20:$E$75)</f>
        <v>7.1825649052715337E-2</v>
      </c>
      <c r="I8" s="28" cm="1">
        <f t="array" ref="I8">+SUMPRODUCT(IF($D$20:$D$75=$C8,1,0),$E$20:$E$75,I$20:I$75)/SUMPRODUCT($F$20:$F$75,$E$20:$E$75)</f>
        <v>9.2194303584572646E-2</v>
      </c>
      <c r="J8" s="28" cm="1">
        <f t="array" ref="J8">+SUMPRODUCT(IF($D$20:$D$75=$C8,1,0),$E$20:$E$75,J$20:J$75)/SUMPRODUCT($F$20:$F$75,$E$20:$E$75)</f>
        <v>0.12731300344315249</v>
      </c>
      <c r="K8" s="28" cm="1">
        <f t="array" ref="K8">+SUMPRODUCT(IF($D$20:$D$75=$C8,1,0),$E$20:$E$75,K$20:K$75)/SUMPRODUCT($F$20:$F$75,$E$20:$E$75)</f>
        <v>0.11975636962413834</v>
      </c>
      <c r="L8" s="28" cm="1">
        <f t="array" ref="L8">+SUMPRODUCT(IF($D$20:$D$75=$C8,1,0),$E$20:$E$75,L$20:L$75)/SUMPRODUCT($F$20:$F$75,$E$20:$E$75)</f>
        <v>0.13334034885678892</v>
      </c>
      <c r="M8" s="28" cm="1">
        <f t="array" ref="M8">+SUMPRODUCT(IF($D$20:$D$75=$C8,1,0),$E$20:$E$75,M$20:M$75)/SUMPRODUCT($F$20:$F$75,$E$20:$E$75)</f>
        <v>0.11691844768093844</v>
      </c>
      <c r="N8" s="28" cm="1">
        <f t="array" ref="N8">+SUMPRODUCT(IF($D$20:$D$75=$C8,1,0),$E$20:$E$75,N$20:N$75)/SUMPRODUCT($F$20:$F$75,$E$20:$E$75)</f>
        <v>0.11137881784776021</v>
      </c>
      <c r="O8" s="28" cm="1">
        <f t="array" ref="O8">+SUMPRODUCT(IF($D$20:$D$75=$C8,1,0),$E$20:$E$75,O$20:O$75)/SUMPRODUCT($F$20:$F$75,$E$20:$E$75)</f>
        <v>9.340459976319411E-2</v>
      </c>
      <c r="P8" s="28" cm="1">
        <f t="array" ref="P8">+SUMPRODUCT(IF($D$20:$D$75=$C8,1,0),$E$20:$E$75,P$20:P$75)/SUMPRODUCT($F$20:$F$75,$E$20:$E$75)</f>
        <v>9.3558535205940957E-2</v>
      </c>
    </row>
    <row r="9" spans="2:16" x14ac:dyDescent="0.3">
      <c r="C9" s="2">
        <v>4</v>
      </c>
      <c r="E9" s="1" t="s">
        <v>64</v>
      </c>
      <c r="F9" s="28" cm="1">
        <f t="array" ref="F9">+SUMPRODUCT(IF($D$20:$D$75=$C9,1,0),$E$20:$E$75,F$20:F$75)/SUMPRODUCT($F$20:$F$75,$E$20:$E$75)</f>
        <v>0</v>
      </c>
      <c r="G9" s="28" cm="1">
        <f t="array" ref="G9">+SUMPRODUCT(IF($D$20:$D$75=$C9,1,0),$E$20:$E$75,G$20:G$75)/SUMPRODUCT($F$20:$F$75,$E$20:$E$75)</f>
        <v>1.1700440918348235E-3</v>
      </c>
      <c r="H9" s="28" cm="1">
        <f t="array" ref="H9">+SUMPRODUCT(IF($D$20:$D$75=$C9,1,0),$E$20:$E$75,H$20:H$75)/SUMPRODUCT($F$20:$F$75,$E$20:$E$75)</f>
        <v>4.5601494390782957E-3</v>
      </c>
      <c r="I9" s="28" cm="1">
        <f t="array" ref="I9">+SUMPRODUCT(IF($D$20:$D$75=$C9,1,0),$E$20:$E$75,I$20:I$75)/SUMPRODUCT($F$20:$F$75,$E$20:$E$75)</f>
        <v>6.9932159079846524E-3</v>
      </c>
      <c r="J9" s="28" cm="1">
        <f t="array" ref="J9">+SUMPRODUCT(IF($D$20:$D$75=$C9,1,0),$E$20:$E$75,J$20:J$75)/SUMPRODUCT($F$20:$F$75,$E$20:$E$75)</f>
        <v>2.9188368118914242E-2</v>
      </c>
      <c r="K9" s="28" cm="1">
        <f t="array" ref="K9">+SUMPRODUCT(IF($D$20:$D$75=$C9,1,0),$E$20:$E$75,K$20:K$75)/SUMPRODUCT($F$20:$F$75,$E$20:$E$75)</f>
        <v>5.1872645237499918E-2</v>
      </c>
      <c r="L9" s="28" cm="1">
        <f t="array" ref="L9">+SUMPRODUCT(IF($D$20:$D$75=$C9,1,0),$E$20:$E$75,L$20:L$75)/SUMPRODUCT($F$20:$F$75,$E$20:$E$75)</f>
        <v>5.6914049702986122E-2</v>
      </c>
      <c r="M9" s="28" cm="1">
        <f t="array" ref="M9">+SUMPRODUCT(IF($D$20:$D$75=$C9,1,0),$E$20:$E$75,M$20:M$75)/SUMPRODUCT($F$20:$F$75,$E$20:$E$75)</f>
        <v>6.0196285808353754E-2</v>
      </c>
      <c r="N9" s="28" cm="1">
        <f t="array" ref="N9">+SUMPRODUCT(IF($D$20:$D$75=$C9,1,0),$E$20:$E$75,N$20:N$75)/SUMPRODUCT($F$20:$F$75,$E$20:$E$75)</f>
        <v>0.11880560061195783</v>
      </c>
      <c r="O9" s="28" cm="1">
        <f t="array" ref="O9">+SUMPRODUCT(IF($D$20:$D$75=$C9,1,0),$E$20:$E$75,O$20:O$75)/SUMPRODUCT($F$20:$F$75,$E$20:$E$75)</f>
        <v>0.12908192405405619</v>
      </c>
      <c r="P9" s="28" cm="1">
        <f t="array" ref="P9">+SUMPRODUCT(IF($D$20:$D$75=$C9,1,0),$E$20:$E$75,P$20:P$75)/SUMPRODUCT($F$20:$F$75,$E$20:$E$75)</f>
        <v>0.16191199664456418</v>
      </c>
    </row>
    <row r="10" spans="2:16" x14ac:dyDescent="0.3">
      <c r="C10" s="2">
        <v>8</v>
      </c>
      <c r="E10" s="1" t="s">
        <v>65</v>
      </c>
      <c r="F10" s="28" cm="1">
        <f t="array" ref="F10">+SUMPRODUCT(IF($D$20:$D$75=$C10,1,0),$E$20:$E$75,F$20:F$75)/SUMPRODUCT($F$20:$F$75,$E$20:$E$75)</f>
        <v>0</v>
      </c>
      <c r="G10" s="28" cm="1">
        <f t="array" ref="G10">+SUMPRODUCT(IF($D$20:$D$75=$C10,1,0),$E$20:$E$75,G$20:G$75)/SUMPRODUCT($F$20:$F$75,$E$20:$E$75)</f>
        <v>0</v>
      </c>
      <c r="H10" s="28" cm="1">
        <f t="array" ref="H10">+SUMPRODUCT(IF($D$20:$D$75=$C10,1,0),$E$20:$E$75,H$20:H$75)/SUMPRODUCT($F$20:$F$75,$E$20:$E$75)</f>
        <v>0</v>
      </c>
      <c r="I10" s="28" cm="1">
        <f t="array" ref="I10">+SUMPRODUCT(IF($D$20:$D$75=$C10,1,0),$E$20:$E$75,I$20:I$75)/SUMPRODUCT($F$20:$F$75,$E$20:$E$75)</f>
        <v>0</v>
      </c>
      <c r="J10" s="28" cm="1">
        <f t="array" ref="J10">+SUMPRODUCT(IF($D$20:$D$75=$C10,1,0),$E$20:$E$75,J$20:J$75)/SUMPRODUCT($F$20:$F$75,$E$20:$E$75)</f>
        <v>0</v>
      </c>
      <c r="K10" s="28" cm="1">
        <f t="array" ref="K10">+SUMPRODUCT(IF($D$20:$D$75=$C10,1,0),$E$20:$E$75,K$20:K$75)/SUMPRODUCT($F$20:$F$75,$E$20:$E$75)</f>
        <v>0</v>
      </c>
      <c r="L10" s="28" cm="1">
        <f t="array" ref="L10">+SUMPRODUCT(IF($D$20:$D$75=$C10,1,0),$E$20:$E$75,L$20:L$75)/SUMPRODUCT($F$20:$F$75,$E$20:$E$75)</f>
        <v>0</v>
      </c>
      <c r="M10" s="28" cm="1">
        <f t="array" ref="M10">+SUMPRODUCT(IF($D$20:$D$75=$C10,1,0),$E$20:$E$75,M$20:M$75)/SUMPRODUCT($F$20:$F$75,$E$20:$E$75)</f>
        <v>0</v>
      </c>
      <c r="N10" s="28" cm="1">
        <f t="array" ref="N10">+SUMPRODUCT(IF($D$20:$D$75=$C10,1,0),$E$20:$E$75,N$20:N$75)/SUMPRODUCT($F$20:$F$75,$E$20:$E$75)</f>
        <v>0</v>
      </c>
      <c r="O10" s="28" cm="1">
        <f t="array" ref="O10">+SUMPRODUCT(IF($D$20:$D$75=$C10,1,0),$E$20:$E$75,O$20:O$75)/SUMPRODUCT($F$20:$F$75,$E$20:$E$75)</f>
        <v>0</v>
      </c>
      <c r="P10" s="28" cm="1">
        <f t="array" ref="P10">+SUMPRODUCT(IF($D$20:$D$75=$C10,1,0),$E$20:$E$75,P$20:P$75)/SUMPRODUCT($F$20:$F$75,$E$20:$E$75)</f>
        <v>0</v>
      </c>
    </row>
    <row r="11" spans="2:16" x14ac:dyDescent="0.3">
      <c r="C11" s="2">
        <v>7</v>
      </c>
      <c r="E11" s="1" t="s">
        <v>66</v>
      </c>
      <c r="F11" s="28" cm="1">
        <f t="array" ref="F11">+SUMPRODUCT(IF($D$20:$D$75=$C11,1,0),$E$20:$E$75,F$20:F$75)/SUMPRODUCT($F$20:$F$75,$E$20:$E$75)</f>
        <v>0</v>
      </c>
      <c r="G11" s="28" cm="1">
        <f t="array" ref="G11">+SUMPRODUCT(IF($D$20:$D$75=$C11,1,0),$E$20:$E$75,G$20:G$75)/SUMPRODUCT($F$20:$F$75,$E$20:$E$75)</f>
        <v>0</v>
      </c>
      <c r="H11" s="28" cm="1">
        <f t="array" ref="H11">+SUMPRODUCT(IF($D$20:$D$75=$C11,1,0),$E$20:$E$75,H$20:H$75)/SUMPRODUCT($F$20:$F$75,$E$20:$E$75)</f>
        <v>9.2407884272187129E-5</v>
      </c>
      <c r="I11" s="28" cm="1">
        <f t="array" ref="I11">+SUMPRODUCT(IF($D$20:$D$75=$C11,1,0),$E$20:$E$75,I$20:I$75)/SUMPRODUCT($F$20:$F$75,$E$20:$E$75)</f>
        <v>0</v>
      </c>
      <c r="J11" s="28" cm="1">
        <f t="array" ref="J11">+SUMPRODUCT(IF($D$20:$D$75=$C11,1,0),$E$20:$E$75,J$20:J$75)/SUMPRODUCT($F$20:$F$75,$E$20:$E$75)</f>
        <v>6.2902688512794889E-4</v>
      </c>
      <c r="K11" s="28" cm="1">
        <f t="array" ref="K11">+SUMPRODUCT(IF($D$20:$D$75=$C11,1,0),$E$20:$E$75,K$20:K$75)/SUMPRODUCT($F$20:$F$75,$E$20:$E$75)</f>
        <v>8.2450544222946389E-4</v>
      </c>
      <c r="L11" s="28" cm="1">
        <f t="array" ref="L11">+SUMPRODUCT(IF($D$20:$D$75=$C11,1,0),$E$20:$E$75,L$20:L$75)/SUMPRODUCT($F$20:$F$75,$E$20:$E$75)</f>
        <v>1.9413314851620944E-3</v>
      </c>
      <c r="M11" s="28" cm="1">
        <f t="array" ref="M11">+SUMPRODUCT(IF($D$20:$D$75=$C11,1,0),$E$20:$E$75,M$20:M$75)/SUMPRODUCT($F$20:$F$75,$E$20:$E$75)</f>
        <v>9.7768402906806906E-4</v>
      </c>
      <c r="N11" s="28" cm="1">
        <f t="array" ref="N11">+SUMPRODUCT(IF($D$20:$D$75=$C11,1,0),$E$20:$E$75,N$20:N$75)/SUMPRODUCT($F$20:$F$75,$E$20:$E$75)</f>
        <v>1.8438279092513337E-3</v>
      </c>
      <c r="O11" s="28" cm="1">
        <f t="array" ref="O11">+SUMPRODUCT(IF($D$20:$D$75=$C11,1,0),$E$20:$E$75,O$20:O$75)/SUMPRODUCT($F$20:$F$75,$E$20:$E$75)</f>
        <v>1.3481591792418052E-3</v>
      </c>
      <c r="P11" s="28" cm="1">
        <f t="array" ref="P11">+SUMPRODUCT(IF($D$20:$D$75=$C11,1,0),$E$20:$E$75,P$20:P$75)/SUMPRODUCT($F$20:$F$75,$E$20:$E$75)</f>
        <v>1.6299130306359272E-3</v>
      </c>
    </row>
    <row r="12" spans="2:16" x14ac:dyDescent="0.3">
      <c r="C12" s="2">
        <v>6</v>
      </c>
      <c r="E12" s="1" t="s">
        <v>67</v>
      </c>
      <c r="F12" s="28" cm="1">
        <f t="array" ref="F12">+SUMPRODUCT(IF($D$20:$D$75=$C12,1,0),$E$20:$E$75,F$20:F$75)/SUMPRODUCT($F$20:$F$75,$E$20:$E$75)</f>
        <v>0</v>
      </c>
      <c r="G12" s="28" cm="1">
        <f t="array" ref="G12">+SUMPRODUCT(IF($D$20:$D$75=$C12,1,0),$E$20:$E$75,G$20:G$75)/SUMPRODUCT($F$20:$F$75,$E$20:$E$75)</f>
        <v>2.5752207073121928E-3</v>
      </c>
      <c r="H12" s="28" cm="1">
        <f t="array" ref="H12">+SUMPRODUCT(IF($D$20:$D$75=$C12,1,0),$E$20:$E$75,H$20:H$75)/SUMPRODUCT($F$20:$F$75,$E$20:$E$75)</f>
        <v>1.9641422056564648E-3</v>
      </c>
      <c r="I12" s="28" cm="1">
        <f t="array" ref="I12">+SUMPRODUCT(IF($D$20:$D$75=$C12,1,0),$E$20:$E$75,I$20:I$75)/SUMPRODUCT($F$20:$F$75,$E$20:$E$75)</f>
        <v>3.3302162926786279E-3</v>
      </c>
      <c r="J12" s="28" cm="1">
        <f t="array" ref="J12">+SUMPRODUCT(IF($D$20:$D$75=$C12,1,0),$E$20:$E$75,J$20:J$75)/SUMPRODUCT($F$20:$F$75,$E$20:$E$75)</f>
        <v>6.4378459606630875E-3</v>
      </c>
      <c r="K12" s="28" cm="1">
        <f t="array" ref="K12">+SUMPRODUCT(IF($D$20:$D$75=$C12,1,0),$E$20:$E$75,K$20:K$75)/SUMPRODUCT($F$20:$F$75,$E$20:$E$75)</f>
        <v>1.2390636658539792E-2</v>
      </c>
      <c r="L12" s="28" cm="1">
        <f t="array" ref="L12">+SUMPRODUCT(IF($D$20:$D$75=$C12,1,0),$E$20:$E$75,L$20:L$75)/SUMPRODUCT($F$20:$F$75,$E$20:$E$75)</f>
        <v>1.588884283334898E-2</v>
      </c>
      <c r="M12" s="28" cm="1">
        <f t="array" ref="M12">+SUMPRODUCT(IF($D$20:$D$75=$C12,1,0),$E$20:$E$75,M$20:M$75)/SUMPRODUCT($F$20:$F$75,$E$20:$E$75)</f>
        <v>1.3609606632605931E-2</v>
      </c>
      <c r="N12" s="28" cm="1">
        <f t="array" ref="N12">+SUMPRODUCT(IF($D$20:$D$75=$C12,1,0),$E$20:$E$75,N$20:N$75)/SUMPRODUCT($F$20:$F$75,$E$20:$E$75)</f>
        <v>2.792487858400278E-2</v>
      </c>
      <c r="O12" s="28" cm="1">
        <f t="array" ref="O12">+SUMPRODUCT(IF($D$20:$D$75=$C12,1,0),$E$20:$E$75,O$20:O$75)/SUMPRODUCT($F$20:$F$75,$E$20:$E$75)</f>
        <v>2.4402277995526404E-2</v>
      </c>
      <c r="P12" s="28" cm="1">
        <f t="array" ref="P12">+SUMPRODUCT(IF($D$20:$D$75=$C12,1,0),$E$20:$E$75,P$20:P$75)/SUMPRODUCT($F$20:$F$75,$E$20:$E$75)</f>
        <v>3.3544383298495316E-2</v>
      </c>
    </row>
    <row r="13" spans="2:16" x14ac:dyDescent="0.3">
      <c r="C13" s="2">
        <v>5</v>
      </c>
      <c r="E13" s="1" t="s">
        <v>68</v>
      </c>
      <c r="F13" s="28" cm="1">
        <f t="array" ref="F13">+SUMPRODUCT(IF($D$20:$D$75=$C13,1,0),$E$20:$E$75,F$20:F$75)/SUMPRODUCT($F$20:$F$75,$E$20:$E$75)</f>
        <v>0</v>
      </c>
      <c r="G13" s="28" cm="1">
        <f t="array" ref="G13">+SUMPRODUCT(IF($D$20:$D$75=$C13,1,0),$E$20:$E$75,G$20:G$75)/SUMPRODUCT($F$20:$F$75,$E$20:$E$75)</f>
        <v>4.3048094945690883E-4</v>
      </c>
      <c r="H13" s="28" cm="1">
        <f t="array" ref="H13">+SUMPRODUCT(IF($D$20:$D$75=$C13,1,0),$E$20:$E$75,H$20:H$75)/SUMPRODUCT($F$20:$F$75,$E$20:$E$75)</f>
        <v>6.4287190040731136E-4</v>
      </c>
      <c r="I13" s="28" cm="1">
        <f t="array" ref="I13">+SUMPRODUCT(IF($D$20:$D$75=$C13,1,0),$E$20:$E$75,I$20:I$75)/SUMPRODUCT($F$20:$F$75,$E$20:$E$75)</f>
        <v>1.0898754319765022E-3</v>
      </c>
      <c r="J13" s="28" cm="1">
        <f t="array" ref="J13">+SUMPRODUCT(IF($D$20:$D$75=$C13,1,0),$E$20:$E$75,J$20:J$75)/SUMPRODUCT($F$20:$F$75,$E$20:$E$75)</f>
        <v>1.1381944609264332E-3</v>
      </c>
      <c r="K13" s="28" cm="1">
        <f t="array" ref="K13">+SUMPRODUCT(IF($D$20:$D$75=$C13,1,0),$E$20:$E$75,K$20:K$75)/SUMPRODUCT($F$20:$F$75,$E$20:$E$75)</f>
        <v>1.1722871401545214E-3</v>
      </c>
      <c r="L13" s="28" cm="1">
        <f t="array" ref="L13">+SUMPRODUCT(IF($D$20:$D$75=$C13,1,0),$E$20:$E$75,L$20:L$75)/SUMPRODUCT($F$20:$F$75,$E$20:$E$75)</f>
        <v>1.3536030282782431E-3</v>
      </c>
      <c r="M13" s="28" cm="1">
        <f t="array" ref="M13">+SUMPRODUCT(IF($D$20:$D$75=$C13,1,0),$E$20:$E$75,M$20:M$75)/SUMPRODUCT($F$20:$F$75,$E$20:$E$75)</f>
        <v>1.7340281365458674E-3</v>
      </c>
      <c r="N13" s="28" cm="1">
        <f t="array" ref="N13">+SUMPRODUCT(IF($D$20:$D$75=$C13,1,0),$E$20:$E$75,N$20:N$75)/SUMPRODUCT($F$20:$F$75,$E$20:$E$75)</f>
        <v>1.1791574094277379E-3</v>
      </c>
      <c r="O13" s="28" cm="1">
        <f t="array" ref="O13">+SUMPRODUCT(IF($D$20:$D$75=$C13,1,0),$E$20:$E$75,O$20:O$75)/SUMPRODUCT($F$20:$F$75,$E$20:$E$75)</f>
        <v>2.5667792163125221E-3</v>
      </c>
      <c r="P13" s="28" cm="1">
        <f t="array" ref="P13">+SUMPRODUCT(IF($D$20:$D$75=$C13,1,0),$E$20:$E$75,P$20:P$75)/SUMPRODUCT($F$20:$F$75,$E$20:$E$75)</f>
        <v>1.6715889788611628E-3</v>
      </c>
    </row>
    <row r="14" spans="2:16" x14ac:dyDescent="0.3">
      <c r="E14" s="17" t="s">
        <v>69</v>
      </c>
      <c r="F14" s="32">
        <f>1-SUM(F7:F13)</f>
        <v>0</v>
      </c>
      <c r="G14" s="32">
        <f t="shared" ref="G14:P14" si="3">1-SUM(G7:G13)</f>
        <v>4.4588406020186211E-3</v>
      </c>
      <c r="H14" s="32">
        <f t="shared" si="3"/>
        <v>1.645792520389322E-2</v>
      </c>
      <c r="I14" s="32">
        <f t="shared" si="3"/>
        <v>3.3842770497811703E-3</v>
      </c>
      <c r="J14" s="32">
        <f t="shared" si="3"/>
        <v>2.0489096477707802E-2</v>
      </c>
      <c r="K14" s="32">
        <f t="shared" si="3"/>
        <v>2.726554415828808E-2</v>
      </c>
      <c r="L14" s="32">
        <f t="shared" si="3"/>
        <v>8.9572908075742363E-3</v>
      </c>
      <c r="M14" s="32">
        <f t="shared" si="3"/>
        <v>5.9532116068340413E-2</v>
      </c>
      <c r="N14" s="32">
        <f t="shared" si="3"/>
        <v>2.120224475129695E-2</v>
      </c>
      <c r="O14" s="32">
        <f t="shared" si="3"/>
        <v>5.5587985820560903E-2</v>
      </c>
      <c r="P14" s="32">
        <f t="shared" si="3"/>
        <v>4.4888078102854667E-2</v>
      </c>
    </row>
    <row r="15" spans="2:16" x14ac:dyDescent="0.3"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2:16" x14ac:dyDescent="0.3">
      <c r="E16" s="37" t="s">
        <v>73</v>
      </c>
      <c r="F16" s="29" cm="1">
        <f t="array" ref="F16">+SUMPRODUCT(IF($B$20:$B$75="Yes",1,0),$E$20:$E$75,F$20:F$75)/SUMPRODUCT($F$20:$F$75,$E$20:$E$75)</f>
        <v>1</v>
      </c>
      <c r="G16" s="29" cm="1">
        <f t="array" ref="G16">+SUMPRODUCT(IF($B$20:$B$75="Yes",1,0),$E$20:$E$75,G$20:G$75)/SUMPRODUCT($F$20:$F$75,$E$20:$E$75)</f>
        <v>0.99482732221481318</v>
      </c>
      <c r="H16" s="29" cm="1">
        <f t="array" ref="H16">+SUMPRODUCT(IF($B$20:$B$75="Yes",1,0),$E$20:$E$75,H$20:H$75)/SUMPRODUCT($F$20:$F$75,$E$20:$E$75)</f>
        <v>0.98217638444891842</v>
      </c>
      <c r="I16" s="29" cm="1">
        <f t="array" ref="I16">+SUMPRODUCT(IF($B$20:$B$75="Yes",1,0),$E$20:$E$75,I$20:I$75)/SUMPRODUCT($F$20:$F$75,$E$20:$E$75)</f>
        <v>0.9943524912662316</v>
      </c>
      <c r="J16" s="29" cm="1">
        <f t="array" ref="J16">+SUMPRODUCT(IF($B$20:$B$75="Yes",1,0),$E$20:$E$75,J$20:J$75)/SUMPRODUCT($F$20:$F$75,$E$20:$E$75)</f>
        <v>0.97496505700602587</v>
      </c>
      <c r="K16" s="29" cm="1">
        <f t="array" ref="K16">+SUMPRODUCT(IF($B$20:$B$75="Yes",1,0),$E$20:$E$75,K$20:K$75)/SUMPRODUCT($F$20:$F$75,$E$20:$E$75)</f>
        <v>0.96606444860937302</v>
      </c>
      <c r="L16" s="29" cm="1">
        <f t="array" ref="L16">+SUMPRODUCT(IF($B$20:$B$75="Yes",1,0),$E$20:$E$75,L$20:L$75)/SUMPRODUCT($F$20:$F$75,$E$20:$E$75)</f>
        <v>0.98137761218907027</v>
      </c>
      <c r="M16" s="29" cm="1">
        <f t="array" ref="M16">+SUMPRODUCT(IF($B$20:$B$75="Yes",1,0),$E$20:$E$75,M$20:M$75)/SUMPRODUCT($F$20:$F$75,$E$20:$E$75)</f>
        <v>0.93238567842753728</v>
      </c>
      <c r="N16" s="29" cm="1">
        <f t="array" ref="N16">+SUMPRODUCT(IF($B$20:$B$75="Yes",1,0),$E$20:$E$75,N$20:N$75)/SUMPRODUCT($F$20:$F$75,$E$20:$E$75)</f>
        <v>0.96502325559038737</v>
      </c>
      <c r="O16" s="29" cm="1">
        <f t="array" ref="O16">+SUMPRODUCT(IF($B$20:$B$75="Yes",1,0),$E$20:$E$75,O$20:O$75)/SUMPRODUCT($F$20:$F$75,$E$20:$E$75)</f>
        <v>0.93067849384909185</v>
      </c>
      <c r="P16" s="29" cm="1">
        <f t="array" ref="P16">+SUMPRODUCT(IF($B$20:$B$75="Yes",1,0),$E$20:$E$75,P$20:P$75)/SUMPRODUCT($F$20:$F$75,$E$20:$E$75)</f>
        <v>0.9374328305406594</v>
      </c>
    </row>
    <row r="18" spans="2:16" x14ac:dyDescent="0.3">
      <c r="B18" s="110" t="s">
        <v>70</v>
      </c>
    </row>
    <row r="19" spans="2:16" x14ac:dyDescent="0.3">
      <c r="B19" s="110"/>
      <c r="C19" s="20" t="s">
        <v>52</v>
      </c>
      <c r="D19" s="21" t="s">
        <v>53</v>
      </c>
      <c r="E19" s="21" t="s">
        <v>54</v>
      </c>
      <c r="F19" s="109" t="s">
        <v>77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</row>
    <row r="20" spans="2:16" x14ac:dyDescent="0.3">
      <c r="B20" s="33" t="s">
        <v>71</v>
      </c>
      <c r="C20" s="10" t="s">
        <v>0</v>
      </c>
      <c r="D20" s="12">
        <v>2</v>
      </c>
      <c r="E20" s="11">
        <v>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</row>
    <row r="21" spans="2:16" x14ac:dyDescent="0.3">
      <c r="B21" s="33" t="s">
        <v>71</v>
      </c>
      <c r="C21" s="10" t="s">
        <v>1</v>
      </c>
      <c r="D21" s="12">
        <v>7</v>
      </c>
      <c r="E21" s="11">
        <v>4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8.6299518404486905E-4</v>
      </c>
      <c r="M21" s="25">
        <v>0</v>
      </c>
      <c r="N21" s="25">
        <v>4.1138241173279324E-3</v>
      </c>
      <c r="O21" s="25">
        <v>0</v>
      </c>
      <c r="P21" s="25">
        <v>1.3324108476691578E-3</v>
      </c>
    </row>
    <row r="22" spans="2:16" x14ac:dyDescent="0.3">
      <c r="B22" s="33" t="s">
        <v>71</v>
      </c>
      <c r="C22" s="10" t="s">
        <v>2</v>
      </c>
      <c r="D22" s="12">
        <v>7</v>
      </c>
      <c r="E22" s="11">
        <v>4</v>
      </c>
      <c r="F22" s="25">
        <v>0</v>
      </c>
      <c r="G22" s="25">
        <v>0</v>
      </c>
      <c r="H22" s="25">
        <v>8.7921337355249894E-4</v>
      </c>
      <c r="I22" s="25">
        <v>0</v>
      </c>
      <c r="J22" s="25">
        <v>4.0764134782420372E-3</v>
      </c>
      <c r="K22" s="25">
        <v>4.9099301428395291E-3</v>
      </c>
      <c r="L22" s="25">
        <v>6.4223731178718307E-3</v>
      </c>
      <c r="M22" s="25">
        <v>5.5153374112359918E-3</v>
      </c>
      <c r="N22" s="25">
        <v>6.3789035796933255E-3</v>
      </c>
      <c r="O22" s="25">
        <v>7.6044522667084447E-3</v>
      </c>
      <c r="P22" s="25">
        <v>6.9029376747021132E-3</v>
      </c>
    </row>
    <row r="23" spans="2:16" x14ac:dyDescent="0.3">
      <c r="B23" s="33" t="s">
        <v>72</v>
      </c>
      <c r="C23" s="10" t="s">
        <v>3</v>
      </c>
      <c r="D23" s="12">
        <v>3</v>
      </c>
      <c r="E23" s="11">
        <v>2</v>
      </c>
      <c r="F23" s="25">
        <v>0</v>
      </c>
      <c r="G23" s="25">
        <v>0.26776692248484024</v>
      </c>
      <c r="H23" s="25">
        <v>0.47629751555082245</v>
      </c>
      <c r="I23" s="25">
        <v>0.50874138443440653</v>
      </c>
      <c r="J23" s="25">
        <v>0.70035049996118315</v>
      </c>
      <c r="K23" s="25">
        <v>0.71572497945458724</v>
      </c>
      <c r="L23" s="25">
        <v>0.76541804082043718</v>
      </c>
      <c r="M23" s="25">
        <v>0.54500935499469572</v>
      </c>
      <c r="N23" s="25">
        <v>0.54099739258126733</v>
      </c>
      <c r="O23" s="25">
        <v>0.44556060945831882</v>
      </c>
      <c r="P23" s="25">
        <v>0.39379679218375019</v>
      </c>
    </row>
    <row r="24" spans="2:16" x14ac:dyDescent="0.3">
      <c r="B24" s="33" t="s">
        <v>71</v>
      </c>
      <c r="C24" s="10" t="s">
        <v>4</v>
      </c>
      <c r="D24" s="12">
        <v>7</v>
      </c>
      <c r="E24" s="11">
        <v>5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5.0610352268114847E-3</v>
      </c>
      <c r="M24" s="25">
        <v>0</v>
      </c>
      <c r="N24" s="25">
        <v>0</v>
      </c>
      <c r="O24" s="25">
        <v>0</v>
      </c>
      <c r="P24" s="25">
        <v>4.590199574286178E-4</v>
      </c>
    </row>
    <row r="25" spans="2:16" x14ac:dyDescent="0.3">
      <c r="B25" s="33" t="s">
        <v>71</v>
      </c>
      <c r="C25" s="10" t="s">
        <v>5</v>
      </c>
      <c r="D25" s="12">
        <v>5</v>
      </c>
      <c r="E25" s="11">
        <v>4</v>
      </c>
      <c r="F25" s="25">
        <v>0</v>
      </c>
      <c r="G25" s="25">
        <v>0</v>
      </c>
      <c r="H25" s="25">
        <v>2.8710232751422062E-3</v>
      </c>
      <c r="I25" s="25">
        <v>4.7304005711863734E-3</v>
      </c>
      <c r="J25" s="25">
        <v>5.2513124920201592E-3</v>
      </c>
      <c r="K25" s="25">
        <v>5.3674955033194468E-3</v>
      </c>
      <c r="L25" s="25">
        <v>6.7816552671160135E-3</v>
      </c>
      <c r="M25" s="25">
        <v>8.1929190548748823E-3</v>
      </c>
      <c r="N25" s="25">
        <v>5.5848665172630362E-3</v>
      </c>
      <c r="O25" s="25">
        <v>1.14759308123333E-2</v>
      </c>
      <c r="P25" s="25">
        <v>7.5187766240332023E-3</v>
      </c>
    </row>
    <row r="26" spans="2:16" x14ac:dyDescent="0.3">
      <c r="B26" s="33" t="s">
        <v>72</v>
      </c>
      <c r="C26" s="10" t="s">
        <v>6</v>
      </c>
      <c r="D26" s="12">
        <v>2</v>
      </c>
      <c r="E26" s="11">
        <v>2</v>
      </c>
      <c r="F26" s="25">
        <v>10.246367817805961</v>
      </c>
      <c r="G26" s="25">
        <v>9.5481545316822434</v>
      </c>
      <c r="H26" s="25">
        <v>8.5416416318279289</v>
      </c>
      <c r="I26" s="25">
        <v>8.0005376429358659</v>
      </c>
      <c r="J26" s="25">
        <v>6.0500253585560646</v>
      </c>
      <c r="K26" s="25">
        <v>5.531068844046791</v>
      </c>
      <c r="L26" s="25">
        <v>5.4071172013874884</v>
      </c>
      <c r="M26" s="25">
        <v>4.3618354954519667</v>
      </c>
      <c r="N26" s="25">
        <v>4.1232668896107665</v>
      </c>
      <c r="O26" s="25">
        <v>3.678927142935783</v>
      </c>
      <c r="P26" s="25">
        <v>3.2028006411445369</v>
      </c>
    </row>
    <row r="27" spans="2:16" x14ac:dyDescent="0.3">
      <c r="B27" s="33" t="s">
        <v>71</v>
      </c>
      <c r="C27" s="10" t="s">
        <v>7</v>
      </c>
      <c r="D27" s="12">
        <v>2</v>
      </c>
      <c r="E27" s="11">
        <v>3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3.9159617687993548E-3</v>
      </c>
      <c r="L27" s="25">
        <v>4.169186658141524E-3</v>
      </c>
      <c r="M27" s="25">
        <v>0</v>
      </c>
      <c r="N27" s="25">
        <v>1.0635984213768698E-2</v>
      </c>
      <c r="O27" s="25">
        <v>1.2895648472200339E-2</v>
      </c>
      <c r="P27" s="25">
        <v>1.7964587052070803E-2</v>
      </c>
    </row>
    <row r="28" spans="2:16" x14ac:dyDescent="0.3">
      <c r="B28" s="33" t="s">
        <v>72</v>
      </c>
      <c r="C28" s="10" t="s">
        <v>8</v>
      </c>
      <c r="D28" s="12">
        <v>6</v>
      </c>
      <c r="E28" s="11">
        <v>3</v>
      </c>
      <c r="F28" s="25">
        <v>0</v>
      </c>
      <c r="G28" s="25">
        <v>3.000864642475972E-2</v>
      </c>
      <c r="H28" s="25">
        <v>1.8834628710891241E-2</v>
      </c>
      <c r="I28" s="25">
        <v>2.6971059538348167E-2</v>
      </c>
      <c r="J28" s="25">
        <v>2.2553362006370259E-2</v>
      </c>
      <c r="K28" s="25">
        <v>3.8113569081982504E-2</v>
      </c>
      <c r="L28" s="25">
        <v>6.0585811964308206E-2</v>
      </c>
      <c r="M28" s="25">
        <v>3.7225159108565907E-2</v>
      </c>
      <c r="N28" s="25">
        <v>8.0917104261235981E-2</v>
      </c>
      <c r="O28" s="25">
        <v>5.7608884906140266E-2</v>
      </c>
      <c r="P28" s="25">
        <v>6.7831809858039022E-2</v>
      </c>
    </row>
    <row r="29" spans="2:16" x14ac:dyDescent="0.3">
      <c r="B29" s="33" t="s">
        <v>71</v>
      </c>
      <c r="C29" s="8" t="s">
        <v>9</v>
      </c>
      <c r="D29" s="12">
        <v>7</v>
      </c>
      <c r="E29" s="11">
        <v>6</v>
      </c>
      <c r="F29" s="25">
        <v>0</v>
      </c>
      <c r="G29" s="25">
        <v>0</v>
      </c>
      <c r="H29" s="25">
        <v>0</v>
      </c>
      <c r="I29" s="25">
        <v>0</v>
      </c>
      <c r="J29" s="25">
        <v>1.2723020059351494E-3</v>
      </c>
      <c r="K29" s="25">
        <v>1.9565426845477448E-3</v>
      </c>
      <c r="L29" s="25">
        <v>2.4153942072535155E-3</v>
      </c>
      <c r="M29" s="25">
        <v>2.5245480224396761E-3</v>
      </c>
      <c r="N29" s="25">
        <v>3.1671760175177588E-3</v>
      </c>
      <c r="O29" s="25">
        <v>3.481724810623804E-3</v>
      </c>
      <c r="P29" s="25">
        <v>3.705211285380418E-3</v>
      </c>
    </row>
    <row r="30" spans="2:16" x14ac:dyDescent="0.3">
      <c r="B30" s="33" t="s">
        <v>72</v>
      </c>
      <c r="C30" s="10" t="s">
        <v>10</v>
      </c>
      <c r="D30" s="12">
        <v>3</v>
      </c>
      <c r="E30" s="11">
        <v>4</v>
      </c>
      <c r="F30" s="25">
        <v>0</v>
      </c>
      <c r="G30" s="25">
        <v>0.19224602887791939</v>
      </c>
      <c r="H30" s="25">
        <v>0.37246594563821711</v>
      </c>
      <c r="I30" s="25">
        <v>0.50261796601414488</v>
      </c>
      <c r="J30" s="25">
        <v>0.65909944524465458</v>
      </c>
      <c r="K30" s="25">
        <v>0.6021424091116987</v>
      </c>
      <c r="L30" s="25">
        <v>0.70269313242453391</v>
      </c>
      <c r="M30" s="25">
        <v>0.5758296573474857</v>
      </c>
      <c r="N30" s="25">
        <v>0.58623842026916784</v>
      </c>
      <c r="O30" s="25">
        <v>0.46670563866216769</v>
      </c>
      <c r="P30" s="25">
        <v>0.48502632612422369</v>
      </c>
    </row>
    <row r="31" spans="2:16" x14ac:dyDescent="0.3">
      <c r="B31" s="33" t="s">
        <v>72</v>
      </c>
      <c r="C31" s="10" t="s">
        <v>11</v>
      </c>
      <c r="D31" s="12">
        <v>4</v>
      </c>
      <c r="E31" s="11">
        <v>4</v>
      </c>
      <c r="F31" s="25">
        <v>0</v>
      </c>
      <c r="G31" s="25">
        <v>5.3875562325333588E-3</v>
      </c>
      <c r="H31" s="25">
        <v>1.5633791268191224E-2</v>
      </c>
      <c r="I31" s="25">
        <v>2.1837952976721055E-2</v>
      </c>
      <c r="J31" s="25">
        <v>6.2995291616661175E-2</v>
      </c>
      <c r="K31" s="25">
        <v>0.10902443984876939</v>
      </c>
      <c r="L31" s="25">
        <v>0.1073329432395098</v>
      </c>
      <c r="M31" s="25">
        <v>9.4197378511963428E-2</v>
      </c>
      <c r="N31" s="25">
        <v>0.1759543117648657</v>
      </c>
      <c r="O31" s="25">
        <v>0.17167953491160998</v>
      </c>
      <c r="P31" s="25">
        <v>0.17792349600426882</v>
      </c>
    </row>
    <row r="32" spans="2:16" x14ac:dyDescent="0.3">
      <c r="B32" s="33" t="s">
        <v>71</v>
      </c>
      <c r="C32" s="10" t="s">
        <v>12</v>
      </c>
      <c r="D32" s="12">
        <v>2</v>
      </c>
      <c r="E32" s="11">
        <v>4</v>
      </c>
      <c r="F32" s="25">
        <v>0</v>
      </c>
      <c r="G32" s="25">
        <v>0</v>
      </c>
      <c r="H32" s="25">
        <v>0</v>
      </c>
      <c r="I32" s="25">
        <v>0</v>
      </c>
      <c r="J32" s="25">
        <v>1.2470322126905166E-3</v>
      </c>
      <c r="K32" s="25">
        <v>3.2671799623608627E-3</v>
      </c>
      <c r="L32" s="25">
        <v>3.9128602936731724E-3</v>
      </c>
      <c r="M32" s="25">
        <v>0</v>
      </c>
      <c r="N32" s="25">
        <v>5.4753534659491765E-3</v>
      </c>
      <c r="O32" s="25">
        <v>4.8764714304157658E-3</v>
      </c>
      <c r="P32" s="25">
        <v>5.1464051642635972E-3</v>
      </c>
    </row>
    <row r="33" spans="2:16" x14ac:dyDescent="0.3">
      <c r="B33" s="33" t="s">
        <v>71</v>
      </c>
      <c r="C33" s="10" t="s">
        <v>13</v>
      </c>
      <c r="D33" s="12">
        <v>6</v>
      </c>
      <c r="E33" s="11">
        <v>4</v>
      </c>
      <c r="F33" s="25">
        <v>0</v>
      </c>
      <c r="G33" s="25">
        <v>0</v>
      </c>
      <c r="H33" s="25">
        <v>5.9435217739545567E-4</v>
      </c>
      <c r="I33" s="25">
        <v>3.1570157688201612E-3</v>
      </c>
      <c r="J33" s="25">
        <v>6.969478785638669E-3</v>
      </c>
      <c r="K33" s="25">
        <v>1.0974579358030877E-2</v>
      </c>
      <c r="L33" s="25">
        <v>1.4790594319117507E-2</v>
      </c>
      <c r="M33" s="25">
        <v>8.1508546081101915E-3</v>
      </c>
      <c r="N33" s="25">
        <v>1.7503155081657167E-2</v>
      </c>
      <c r="O33" s="25">
        <v>1.3590854979106025E-2</v>
      </c>
      <c r="P33" s="25">
        <v>1.3922552009300003E-2</v>
      </c>
    </row>
    <row r="34" spans="2:16" x14ac:dyDescent="0.3">
      <c r="B34" s="33" t="s">
        <v>71</v>
      </c>
      <c r="C34" s="10" t="s">
        <v>14</v>
      </c>
      <c r="D34" s="12">
        <v>5</v>
      </c>
      <c r="E34" s="11">
        <v>6</v>
      </c>
      <c r="F34" s="25">
        <v>0</v>
      </c>
      <c r="G34" s="25">
        <v>2.7305361860485585E-3</v>
      </c>
      <c r="H34" s="25">
        <v>2.1637142626179597E-3</v>
      </c>
      <c r="I34" s="25">
        <v>3.7594681511651899E-3</v>
      </c>
      <c r="J34" s="25">
        <v>3.7186806354599375E-3</v>
      </c>
      <c r="K34" s="25">
        <v>3.8574748044247487E-3</v>
      </c>
      <c r="L34" s="25">
        <v>4.0647864215156808E-3</v>
      </c>
      <c r="M34" s="25">
        <v>5.5369764022337445E-3</v>
      </c>
      <c r="N34" s="25">
        <v>3.7561388416885323E-3</v>
      </c>
      <c r="O34" s="25">
        <v>8.630433336858364E-3</v>
      </c>
      <c r="P34" s="25">
        <v>5.301313991342602E-3</v>
      </c>
    </row>
    <row r="35" spans="2:16" x14ac:dyDescent="0.3">
      <c r="B35" s="33" t="s">
        <v>72</v>
      </c>
      <c r="C35" s="10" t="s">
        <v>15</v>
      </c>
      <c r="D35" s="12">
        <v>2</v>
      </c>
      <c r="E35" s="11">
        <v>4</v>
      </c>
      <c r="F35" s="25">
        <v>4.3913004933454127</v>
      </c>
      <c r="G35" s="25">
        <v>4.2165920333251421</v>
      </c>
      <c r="H35" s="25">
        <v>4.0698421113027834</v>
      </c>
      <c r="I35" s="25">
        <v>4.0936350914248356</v>
      </c>
      <c r="J35" s="25">
        <v>3.8274742581467294</v>
      </c>
      <c r="K35" s="25">
        <v>3.7593590729979063</v>
      </c>
      <c r="L35" s="25">
        <v>3.8030007356315432</v>
      </c>
      <c r="M35" s="25">
        <v>3.571565202707168</v>
      </c>
      <c r="N35" s="25">
        <v>3.5068570191055835</v>
      </c>
      <c r="O35" s="25">
        <v>3.3619056099384528</v>
      </c>
      <c r="P35" s="25">
        <v>3.2122397795377746</v>
      </c>
    </row>
    <row r="36" spans="2:16" x14ac:dyDescent="0.3">
      <c r="B36" s="33" t="s">
        <v>72</v>
      </c>
      <c r="C36" s="10" t="s">
        <v>16</v>
      </c>
      <c r="D36" s="12">
        <v>6</v>
      </c>
      <c r="E36" s="11">
        <v>5</v>
      </c>
      <c r="F36" s="25">
        <v>0</v>
      </c>
      <c r="G36" s="25">
        <v>1.5963299467993131E-3</v>
      </c>
      <c r="H36" s="25">
        <v>3.1739813351618395E-3</v>
      </c>
      <c r="I36" s="25">
        <v>5.0131039776410251E-3</v>
      </c>
      <c r="J36" s="25">
        <v>1.4409450061910774E-2</v>
      </c>
      <c r="K36" s="25">
        <v>2.6258348685917213E-2</v>
      </c>
      <c r="L36" s="25">
        <v>3.0305361996502141E-2</v>
      </c>
      <c r="M36" s="25">
        <v>2.8839864387047349E-2</v>
      </c>
      <c r="N36" s="25">
        <v>6.0964968866196123E-2</v>
      </c>
      <c r="O36" s="25">
        <v>5.9221361339701246E-2</v>
      </c>
      <c r="P36" s="25">
        <v>8.0000015300213806E-2</v>
      </c>
    </row>
    <row r="37" spans="2:16" x14ac:dyDescent="0.3">
      <c r="B37" s="33" t="s">
        <v>71</v>
      </c>
      <c r="C37" s="10" t="s">
        <v>17</v>
      </c>
      <c r="D37" s="12">
        <v>2</v>
      </c>
      <c r="E37" s="11">
        <v>5</v>
      </c>
      <c r="F37" s="25">
        <v>0</v>
      </c>
      <c r="G37" s="25">
        <v>0</v>
      </c>
      <c r="H37" s="25">
        <v>0</v>
      </c>
      <c r="I37" s="25">
        <v>0</v>
      </c>
      <c r="J37" s="25">
        <v>1.277864745172361E-3</v>
      </c>
      <c r="K37" s="25">
        <v>4.1301228273167099E-3</v>
      </c>
      <c r="L37" s="25">
        <v>4.7800780081640182E-3</v>
      </c>
      <c r="M37" s="25">
        <v>4.2519985868368602E-3</v>
      </c>
      <c r="N37" s="25">
        <v>1.1967109243371708E-2</v>
      </c>
      <c r="O37" s="25">
        <v>1.4000004955964634E-2</v>
      </c>
      <c r="P37" s="25">
        <v>1.8832620004520739E-2</v>
      </c>
    </row>
    <row r="38" spans="2:16" x14ac:dyDescent="0.3">
      <c r="B38" s="33" t="s">
        <v>71</v>
      </c>
      <c r="C38" s="10" t="s">
        <v>55</v>
      </c>
      <c r="D38" s="12">
        <v>7</v>
      </c>
      <c r="E38" s="11">
        <v>8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1.149790079852091E-3</v>
      </c>
      <c r="O38" s="25">
        <v>0</v>
      </c>
      <c r="P38" s="25">
        <v>3.5496717833070988E-4</v>
      </c>
    </row>
    <row r="39" spans="2:16" x14ac:dyDescent="0.3">
      <c r="B39" s="33" t="s">
        <v>71</v>
      </c>
      <c r="C39" s="10" t="s">
        <v>18</v>
      </c>
      <c r="D39" s="12">
        <v>7</v>
      </c>
      <c r="E39" s="11">
        <v>8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6.1800724442856274E-4</v>
      </c>
      <c r="M39" s="25">
        <v>0</v>
      </c>
      <c r="N39" s="25">
        <v>0</v>
      </c>
      <c r="O39" s="25">
        <v>0</v>
      </c>
      <c r="P39" s="25">
        <v>2.1545367655892298E-4</v>
      </c>
    </row>
    <row r="40" spans="2:16" x14ac:dyDescent="0.3">
      <c r="B40" s="33" t="s">
        <v>71</v>
      </c>
      <c r="C40" s="10" t="s">
        <v>19</v>
      </c>
      <c r="D40" s="12">
        <v>2</v>
      </c>
      <c r="E40" s="11">
        <v>5</v>
      </c>
      <c r="F40" s="25">
        <v>0</v>
      </c>
      <c r="G40" s="25">
        <v>0</v>
      </c>
      <c r="H40" s="25">
        <v>0</v>
      </c>
      <c r="I40" s="25">
        <v>0</v>
      </c>
      <c r="J40" s="25">
        <v>1.350524350526059E-3</v>
      </c>
      <c r="K40" s="25">
        <v>2.4440760955192643E-3</v>
      </c>
      <c r="L40" s="25">
        <v>3.2977243475206357E-3</v>
      </c>
      <c r="M40" s="25">
        <v>0</v>
      </c>
      <c r="N40" s="25">
        <v>4.1017210177048454E-3</v>
      </c>
      <c r="O40" s="25">
        <v>3.5880351186121646E-3</v>
      </c>
      <c r="P40" s="25">
        <v>3.858301447613237E-3</v>
      </c>
    </row>
    <row r="41" spans="2:16" x14ac:dyDescent="0.3">
      <c r="B41" s="33" t="s">
        <v>72</v>
      </c>
      <c r="C41" s="10" t="s">
        <v>20</v>
      </c>
      <c r="D41" s="12">
        <v>3</v>
      </c>
      <c r="E41" s="11">
        <v>6</v>
      </c>
      <c r="F41" s="25">
        <v>0</v>
      </c>
      <c r="G41" s="25">
        <v>3.6527898018454906E-3</v>
      </c>
      <c r="H41" s="25">
        <v>1.1038990587382176E-2</v>
      </c>
      <c r="I41" s="25">
        <v>1.7641812390601034E-2</v>
      </c>
      <c r="J41" s="25">
        <v>3.1705036944835847E-2</v>
      </c>
      <c r="K41" s="25">
        <v>2.7436428428591536E-2</v>
      </c>
      <c r="L41" s="25">
        <v>2.7790215723860211E-2</v>
      </c>
      <c r="M41" s="25">
        <v>4.0162873265314529E-2</v>
      </c>
      <c r="N41" s="25">
        <v>3.1974676522319757E-2</v>
      </c>
      <c r="O41" s="25">
        <v>3.1822788640051426E-2</v>
      </c>
      <c r="P41" s="25">
        <v>3.3808080394172421E-2</v>
      </c>
    </row>
    <row r="42" spans="2:16" x14ac:dyDescent="0.3">
      <c r="B42" s="33" t="s">
        <v>71</v>
      </c>
      <c r="C42" s="10" t="s">
        <v>21</v>
      </c>
      <c r="D42" s="12">
        <v>6</v>
      </c>
      <c r="E42" s="11">
        <v>6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1.4587100146474493E-3</v>
      </c>
      <c r="L42" s="25">
        <v>1.9840518401032996E-3</v>
      </c>
      <c r="M42" s="25">
        <v>0</v>
      </c>
      <c r="N42" s="25">
        <v>2.3661524704518492E-3</v>
      </c>
      <c r="O42" s="25">
        <v>0</v>
      </c>
      <c r="P42" s="25">
        <v>5.3029816911430287E-4</v>
      </c>
    </row>
    <row r="43" spans="2:16" x14ac:dyDescent="0.3">
      <c r="B43" s="33" t="s">
        <v>72</v>
      </c>
      <c r="C43" s="10" t="s">
        <v>22</v>
      </c>
      <c r="D43" s="12">
        <v>4</v>
      </c>
      <c r="E43" s="11">
        <v>6</v>
      </c>
      <c r="F43" s="25">
        <v>0</v>
      </c>
      <c r="G43" s="25">
        <v>2.7721388973692427E-3</v>
      </c>
      <c r="H43" s="25">
        <v>8.7038319941668326E-3</v>
      </c>
      <c r="I43" s="25">
        <v>1.3769171508523324E-2</v>
      </c>
      <c r="J43" s="25">
        <v>4.0456926735653723E-2</v>
      </c>
      <c r="K43" s="25">
        <v>6.5331717278843154E-2</v>
      </c>
      <c r="L43" s="25">
        <v>7.5747295845463539E-2</v>
      </c>
      <c r="M43" s="25">
        <v>7.0986707491584061E-2</v>
      </c>
      <c r="N43" s="25">
        <v>0.13985376191029911</v>
      </c>
      <c r="O43" s="25">
        <v>0.14394070816898952</v>
      </c>
      <c r="P43" s="25">
        <v>0.17288983400764305</v>
      </c>
    </row>
    <row r="44" spans="2:16" x14ac:dyDescent="0.3">
      <c r="B44" s="33" t="s">
        <v>71</v>
      </c>
      <c r="C44" s="10" t="s">
        <v>23</v>
      </c>
      <c r="D44" s="12">
        <v>6</v>
      </c>
      <c r="E44" s="11">
        <v>6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5.4623640035243173E-4</v>
      </c>
      <c r="M44" s="25">
        <v>0</v>
      </c>
      <c r="N44" s="25">
        <v>1.0917690678367304E-3</v>
      </c>
      <c r="O44" s="25">
        <v>0</v>
      </c>
      <c r="P44" s="25">
        <v>5.8217516391896292E-4</v>
      </c>
    </row>
    <row r="45" spans="2:16" x14ac:dyDescent="0.3">
      <c r="B45" s="33" t="s">
        <v>72</v>
      </c>
      <c r="C45" s="10" t="s">
        <v>24</v>
      </c>
      <c r="D45" s="12">
        <v>4</v>
      </c>
      <c r="E45" s="11">
        <v>6</v>
      </c>
      <c r="F45" s="25">
        <v>0</v>
      </c>
      <c r="G45" s="25">
        <v>0</v>
      </c>
      <c r="H45" s="25">
        <v>1.3680440855873984E-3</v>
      </c>
      <c r="I45" s="25">
        <v>0</v>
      </c>
      <c r="J45" s="25">
        <v>3.5187190062866691E-2</v>
      </c>
      <c r="K45" s="25">
        <v>7.0246913224859667E-2</v>
      </c>
      <c r="L45" s="25">
        <v>7.0735344767813624E-2</v>
      </c>
      <c r="M45" s="25">
        <v>6.7466709777057696E-2</v>
      </c>
      <c r="N45" s="25">
        <v>0.15033404130551481</v>
      </c>
      <c r="O45" s="25">
        <v>0.15691468936887557</v>
      </c>
      <c r="P45" s="25">
        <v>0.18282836848440195</v>
      </c>
    </row>
    <row r="46" spans="2:16" x14ac:dyDescent="0.3">
      <c r="B46" s="33" t="s">
        <v>72</v>
      </c>
      <c r="C46" s="10" t="s">
        <v>25</v>
      </c>
      <c r="D46" s="12">
        <v>3</v>
      </c>
      <c r="E46" s="11">
        <v>6</v>
      </c>
      <c r="F46" s="25">
        <v>0</v>
      </c>
      <c r="G46" s="25">
        <v>1.0358544888302325E-2</v>
      </c>
      <c r="H46" s="25">
        <v>2.9973708914035679E-2</v>
      </c>
      <c r="I46" s="25">
        <v>4.9257368513631626E-2</v>
      </c>
      <c r="J46" s="25">
        <v>7.3275504217132817E-2</v>
      </c>
      <c r="K46" s="25">
        <v>6.7196021551247806E-2</v>
      </c>
      <c r="L46" s="25">
        <v>7.0010936936097778E-2</v>
      </c>
      <c r="M46" s="25">
        <v>9.0988089590751747E-2</v>
      </c>
      <c r="N46" s="25">
        <v>7.0370076080363428E-2</v>
      </c>
      <c r="O46" s="25">
        <v>6.6274876374931208E-2</v>
      </c>
      <c r="P46" s="25">
        <v>6.6575343980971577E-2</v>
      </c>
    </row>
    <row r="47" spans="2:16" x14ac:dyDescent="0.3">
      <c r="B47" s="33" t="s">
        <v>71</v>
      </c>
      <c r="C47" s="10" t="s">
        <v>56</v>
      </c>
      <c r="D47" s="12">
        <v>5</v>
      </c>
      <c r="E47" s="11">
        <v>8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2.1677982764887259E-4</v>
      </c>
    </row>
    <row r="48" spans="2:16" x14ac:dyDescent="0.3">
      <c r="B48" s="33" t="s">
        <v>72</v>
      </c>
      <c r="C48" s="10" t="s">
        <v>26</v>
      </c>
      <c r="D48" s="12">
        <v>2</v>
      </c>
      <c r="E48" s="11">
        <v>6</v>
      </c>
      <c r="F48" s="25">
        <v>0</v>
      </c>
      <c r="G48" s="25">
        <v>6.5527022619844173E-3</v>
      </c>
      <c r="H48" s="25">
        <v>2.1825081296649489E-2</v>
      </c>
      <c r="I48" s="25">
        <v>3.5976591240601027E-2</v>
      </c>
      <c r="J48" s="25">
        <v>8.7927986455995033E-2</v>
      </c>
      <c r="K48" s="25">
        <v>0.10227633649584517</v>
      </c>
      <c r="L48" s="25">
        <v>0.10156150362475716</v>
      </c>
      <c r="M48" s="25">
        <v>0.14006757951687426</v>
      </c>
      <c r="N48" s="25">
        <v>0.14191532578006893</v>
      </c>
      <c r="O48" s="25">
        <v>0.16357378285070917</v>
      </c>
      <c r="P48" s="25">
        <v>0.17547660622474806</v>
      </c>
    </row>
    <row r="49" spans="2:23" x14ac:dyDescent="0.3">
      <c r="B49" s="33" t="s">
        <v>71</v>
      </c>
      <c r="C49" s="10" t="s">
        <v>27</v>
      </c>
      <c r="D49" s="12">
        <v>2</v>
      </c>
      <c r="E49" s="11">
        <v>6</v>
      </c>
      <c r="F49" s="25">
        <v>0</v>
      </c>
      <c r="G49" s="25">
        <v>0</v>
      </c>
      <c r="H49" s="25">
        <v>7.1247491867590439E-4</v>
      </c>
      <c r="I49" s="25">
        <v>1.875042891334288E-3</v>
      </c>
      <c r="J49" s="25">
        <v>1.4113755945496572E-3</v>
      </c>
      <c r="K49" s="25">
        <v>0</v>
      </c>
      <c r="L49" s="25">
        <v>4.4022222635873931E-3</v>
      </c>
      <c r="M49" s="25">
        <v>0</v>
      </c>
      <c r="N49" s="25">
        <v>2.8638808476692682E-3</v>
      </c>
      <c r="O49" s="25">
        <v>0</v>
      </c>
      <c r="P49" s="25">
        <v>3.378409229562738E-4</v>
      </c>
    </row>
    <row r="50" spans="2:23" x14ac:dyDescent="0.3">
      <c r="B50" s="33" t="s">
        <v>71</v>
      </c>
      <c r="C50" s="10" t="s">
        <v>28</v>
      </c>
      <c r="D50" s="12">
        <v>11</v>
      </c>
      <c r="E50" s="11">
        <v>8</v>
      </c>
      <c r="F50" s="25">
        <v>0</v>
      </c>
      <c r="G50" s="25">
        <v>2.6706763579784631E-3</v>
      </c>
      <c r="H50" s="25">
        <v>3.6309038102709198E-3</v>
      </c>
      <c r="I50" s="25">
        <v>4.3614294100274434E-3</v>
      </c>
      <c r="J50" s="25">
        <v>3.4307308173175382E-3</v>
      </c>
      <c r="K50" s="25">
        <v>3.3179114341659894E-3</v>
      </c>
      <c r="L50" s="25">
        <v>5.6251307980729262E-3</v>
      </c>
      <c r="M50" s="25">
        <v>3.2655602777207273E-3</v>
      </c>
      <c r="N50" s="25">
        <v>2.3127735908928071E-3</v>
      </c>
      <c r="O50" s="25">
        <v>0</v>
      </c>
      <c r="P50" s="25">
        <v>8.5101340646776187E-4</v>
      </c>
    </row>
    <row r="51" spans="2:23" x14ac:dyDescent="0.3">
      <c r="B51" s="33" t="s">
        <v>72</v>
      </c>
      <c r="C51" s="10" t="s">
        <v>29</v>
      </c>
      <c r="D51" s="12">
        <v>2</v>
      </c>
      <c r="E51" s="11">
        <v>6</v>
      </c>
      <c r="F51" s="25">
        <v>0</v>
      </c>
      <c r="G51" s="25">
        <v>4.692473980189444E-2</v>
      </c>
      <c r="H51" s="25">
        <v>0.1235256415428934</v>
      </c>
      <c r="I51" s="25">
        <v>0.18654703506109868</v>
      </c>
      <c r="J51" s="25">
        <v>0.38647821325455578</v>
      </c>
      <c r="K51" s="25">
        <v>0.40806981643330298</v>
      </c>
      <c r="L51" s="25">
        <v>0.39390637817051904</v>
      </c>
      <c r="M51" s="25">
        <v>0.53731730209825401</v>
      </c>
      <c r="N51" s="25">
        <v>0.48787685953350313</v>
      </c>
      <c r="O51" s="25">
        <v>0.5233109787619129</v>
      </c>
      <c r="P51" s="25">
        <v>0.5286744962430272</v>
      </c>
      <c r="R51" s="3"/>
      <c r="S51" s="3"/>
      <c r="T51" s="3"/>
      <c r="U51" s="3"/>
      <c r="V51" s="3"/>
      <c r="W51" s="3"/>
    </row>
    <row r="52" spans="2:23" x14ac:dyDescent="0.3">
      <c r="B52" s="33" t="s">
        <v>72</v>
      </c>
      <c r="C52" s="10" t="s">
        <v>30</v>
      </c>
      <c r="D52" s="12">
        <v>6</v>
      </c>
      <c r="E52" s="11">
        <v>7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1.0359775335360666E-2</v>
      </c>
      <c r="L52" s="25">
        <v>1.2287621448259463E-2</v>
      </c>
      <c r="M52" s="25">
        <v>7.0163769797706122E-3</v>
      </c>
      <c r="N52" s="25">
        <v>2.2523417203260919E-2</v>
      </c>
      <c r="O52" s="25">
        <v>2.1806095973373494E-2</v>
      </c>
      <c r="P52" s="25">
        <v>2.6914105384819923E-2</v>
      </c>
    </row>
    <row r="53" spans="2:23" x14ac:dyDescent="0.3">
      <c r="B53" s="33" t="s">
        <v>71</v>
      </c>
      <c r="C53" s="10" t="s">
        <v>31</v>
      </c>
      <c r="D53" s="12">
        <v>2</v>
      </c>
      <c r="E53" s="11">
        <v>7</v>
      </c>
      <c r="F53" s="25">
        <v>0</v>
      </c>
      <c r="G53" s="25">
        <v>1.5405648376727592E-3</v>
      </c>
      <c r="H53" s="25">
        <v>2.4771239477665982E-3</v>
      </c>
      <c r="I53" s="25">
        <v>2.4222018208680828E-3</v>
      </c>
      <c r="J53" s="25">
        <v>0</v>
      </c>
      <c r="K53" s="25">
        <v>1.966524436086014E-3</v>
      </c>
      <c r="L53" s="25">
        <v>2.0486024915010773E-3</v>
      </c>
      <c r="M53" s="25">
        <v>1.2667112042799586E-3</v>
      </c>
      <c r="N53" s="25">
        <v>2.442375920547767E-3</v>
      </c>
      <c r="O53" s="25">
        <v>2.3588061484731181E-3</v>
      </c>
      <c r="P53" s="25">
        <v>3.2393158552781595E-3</v>
      </c>
    </row>
    <row r="54" spans="2:23" x14ac:dyDescent="0.3">
      <c r="B54" s="33" t="s">
        <v>71</v>
      </c>
      <c r="C54" s="10" t="s">
        <v>57</v>
      </c>
      <c r="D54" s="12">
        <v>2</v>
      </c>
      <c r="E54" s="11">
        <v>7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4.674739854413927E-4</v>
      </c>
      <c r="N54" s="25">
        <v>3.7846227789376146E-3</v>
      </c>
      <c r="O54" s="25">
        <v>0</v>
      </c>
      <c r="P54" s="25">
        <v>6.0838389125360652E-3</v>
      </c>
    </row>
    <row r="55" spans="2:23" x14ac:dyDescent="0.3">
      <c r="B55" s="33" t="s">
        <v>72</v>
      </c>
      <c r="C55" s="10" t="s">
        <v>32</v>
      </c>
      <c r="D55" s="12">
        <v>6</v>
      </c>
      <c r="E55" s="11">
        <v>7</v>
      </c>
      <c r="F55" s="25">
        <v>0</v>
      </c>
      <c r="G55" s="25">
        <v>0</v>
      </c>
      <c r="H55" s="25">
        <v>0</v>
      </c>
      <c r="I55" s="25">
        <v>2.723499934259825E-4</v>
      </c>
      <c r="J55" s="25">
        <v>2.7960895100412882E-3</v>
      </c>
      <c r="K55" s="25">
        <v>4.0495366581879029E-3</v>
      </c>
      <c r="L55" s="25">
        <v>4.4877745074023753E-3</v>
      </c>
      <c r="M55" s="25">
        <v>7.6117925408028036E-3</v>
      </c>
      <c r="N55" s="25">
        <v>1.3869220632269585E-2</v>
      </c>
      <c r="O55" s="25">
        <v>9.8276408030319763E-3</v>
      </c>
      <c r="P55" s="25">
        <v>2.1396126890078776E-2</v>
      </c>
    </row>
    <row r="56" spans="2:23" x14ac:dyDescent="0.3">
      <c r="B56" s="33" t="s">
        <v>72</v>
      </c>
      <c r="C56" s="6" t="s">
        <v>58</v>
      </c>
      <c r="D56" s="13">
        <v>3</v>
      </c>
      <c r="E56" s="9">
        <v>8</v>
      </c>
      <c r="F56" s="25">
        <v>0</v>
      </c>
      <c r="G56" s="25">
        <v>9.3002431050540134E-4</v>
      </c>
      <c r="H56" s="25">
        <v>3.2518656695056216E-3</v>
      </c>
      <c r="I56" s="25">
        <v>5.6605650809504662E-3</v>
      </c>
      <c r="J56" s="25">
        <v>1.1893039934089316E-2</v>
      </c>
      <c r="K56" s="25">
        <v>9.8207192453303744E-3</v>
      </c>
      <c r="L56" s="25">
        <v>9.3386462999506259E-3</v>
      </c>
      <c r="M56" s="25">
        <v>1.7728617804824154E-2</v>
      </c>
      <c r="N56" s="25">
        <v>1.2785443042988386E-2</v>
      </c>
      <c r="O56" s="25">
        <v>1.3773356354274791E-2</v>
      </c>
      <c r="P56" s="25">
        <v>1.5290403717555509E-2</v>
      </c>
    </row>
    <row r="57" spans="2:23" x14ac:dyDescent="0.3">
      <c r="B57" s="33" t="s">
        <v>72</v>
      </c>
      <c r="C57" s="10" t="s">
        <v>33</v>
      </c>
      <c r="D57" s="12">
        <v>4</v>
      </c>
      <c r="E57" s="11">
        <v>8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1.3476896797465603E-3</v>
      </c>
      <c r="L57" s="25">
        <v>1.4176129277615935E-2</v>
      </c>
      <c r="M57" s="25">
        <v>2.1084696783688485E-3</v>
      </c>
      <c r="N57" s="25">
        <v>4.4811070034660111E-3</v>
      </c>
      <c r="O57" s="25">
        <v>6.0757694730043561E-3</v>
      </c>
      <c r="P57" s="25">
        <v>8.1928647059286534E-3</v>
      </c>
    </row>
    <row r="58" spans="2:23" x14ac:dyDescent="0.3">
      <c r="B58" s="33" t="s">
        <v>72</v>
      </c>
      <c r="C58" s="10" t="s">
        <v>34</v>
      </c>
      <c r="D58" s="12">
        <v>4</v>
      </c>
      <c r="E58" s="11">
        <v>8</v>
      </c>
      <c r="F58" s="25">
        <v>0</v>
      </c>
      <c r="G58" s="25">
        <v>7.9330084155904514E-4</v>
      </c>
      <c r="H58" s="25">
        <v>3.5821963727677777E-3</v>
      </c>
      <c r="I58" s="25">
        <v>6.0869799212832591E-3</v>
      </c>
      <c r="J58" s="25">
        <v>2.3270980703442495E-2</v>
      </c>
      <c r="K58" s="25">
        <v>4.2371913106970326E-2</v>
      </c>
      <c r="L58" s="25">
        <v>3.9368451955492864E-2</v>
      </c>
      <c r="M58" s="25">
        <v>5.3256285484389154E-2</v>
      </c>
      <c r="N58" s="25">
        <v>0.12300693237458349</v>
      </c>
      <c r="O58" s="25">
        <v>0.13741610836874729</v>
      </c>
      <c r="P58" s="25">
        <v>0.18241565196634402</v>
      </c>
    </row>
    <row r="59" spans="2:23" x14ac:dyDescent="0.3">
      <c r="B59" s="33" t="s">
        <v>72</v>
      </c>
      <c r="C59" s="10" t="s">
        <v>35</v>
      </c>
      <c r="D59" s="12">
        <v>4</v>
      </c>
      <c r="E59" s="11">
        <v>8</v>
      </c>
      <c r="F59" s="25">
        <v>0</v>
      </c>
      <c r="G59" s="25">
        <v>0</v>
      </c>
      <c r="H59" s="25">
        <v>1.0655215746153469E-3</v>
      </c>
      <c r="I59" s="25">
        <v>2.3097374323229956E-3</v>
      </c>
      <c r="J59" s="25">
        <v>8.1048623494023968E-3</v>
      </c>
      <c r="K59" s="25">
        <v>1.2302013273723732E-2</v>
      </c>
      <c r="L59" s="25">
        <v>1.3992837055478619E-2</v>
      </c>
      <c r="M59" s="25">
        <v>1.8922542810426515E-2</v>
      </c>
      <c r="N59" s="25">
        <v>2.3675531927701637E-2</v>
      </c>
      <c r="O59" s="25">
        <v>2.6423562437048534E-2</v>
      </c>
      <c r="P59" s="25">
        <v>3.5273123652813154E-2</v>
      </c>
    </row>
    <row r="60" spans="2:23" x14ac:dyDescent="0.3">
      <c r="B60" s="33" t="s">
        <v>71</v>
      </c>
      <c r="C60" s="10" t="s">
        <v>36</v>
      </c>
      <c r="D60" s="12">
        <v>6</v>
      </c>
      <c r="E60" s="11">
        <v>8</v>
      </c>
      <c r="F60" s="25">
        <v>0</v>
      </c>
      <c r="G60" s="25">
        <v>0</v>
      </c>
      <c r="H60" s="25">
        <v>0</v>
      </c>
      <c r="I60" s="25">
        <v>2.695642704876495E-4</v>
      </c>
      <c r="J60" s="25">
        <v>2.0008254155109719E-3</v>
      </c>
      <c r="K60" s="25">
        <v>1.3419754170376377E-3</v>
      </c>
      <c r="L60" s="25">
        <v>1.6846463283543261E-3</v>
      </c>
      <c r="M60" s="25">
        <v>1.4161782856175914E-3</v>
      </c>
      <c r="N60" s="25">
        <v>1.900760234625108E-3</v>
      </c>
      <c r="O60" s="25">
        <v>0</v>
      </c>
      <c r="P60" s="25">
        <v>8.0468884293188208E-4</v>
      </c>
    </row>
    <row r="61" spans="2:23" x14ac:dyDescent="0.3">
      <c r="B61" s="33" t="s">
        <v>72</v>
      </c>
      <c r="C61" s="10" t="s">
        <v>37</v>
      </c>
      <c r="D61" s="12">
        <v>4</v>
      </c>
      <c r="E61" s="11">
        <v>8</v>
      </c>
      <c r="F61" s="25">
        <v>0</v>
      </c>
      <c r="G61" s="25">
        <v>0</v>
      </c>
      <c r="H61" s="25">
        <v>0</v>
      </c>
      <c r="I61" s="25">
        <v>3.0108819238941785E-4</v>
      </c>
      <c r="J61" s="25">
        <v>2.7511820799835645E-3</v>
      </c>
      <c r="K61" s="25">
        <v>7.5875315759411253E-3</v>
      </c>
      <c r="L61" s="25">
        <v>7.635805465111287E-3</v>
      </c>
      <c r="M61" s="25">
        <v>9.9116056478073932E-3</v>
      </c>
      <c r="N61" s="25">
        <v>2.0308914945473835E-2</v>
      </c>
      <c r="O61" s="25">
        <v>2.3754587642090878E-2</v>
      </c>
      <c r="P61" s="25">
        <v>2.9016973703797976E-2</v>
      </c>
    </row>
    <row r="62" spans="2:23" x14ac:dyDescent="0.3">
      <c r="B62" s="33" t="s">
        <v>72</v>
      </c>
      <c r="C62" s="10" t="s">
        <v>38</v>
      </c>
      <c r="D62" s="12">
        <v>3</v>
      </c>
      <c r="E62" s="11">
        <v>8</v>
      </c>
      <c r="F62" s="25">
        <v>0</v>
      </c>
      <c r="G62" s="25">
        <v>0</v>
      </c>
      <c r="H62" s="25">
        <v>2.3732667943303794E-3</v>
      </c>
      <c r="I62" s="25">
        <v>4.261351840985677E-3</v>
      </c>
      <c r="J62" s="25">
        <v>1.0392999313446186E-2</v>
      </c>
      <c r="K62" s="25">
        <v>8.9125492796726363E-3</v>
      </c>
      <c r="L62" s="25">
        <v>8.941747481843336E-3</v>
      </c>
      <c r="M62" s="25">
        <v>1.5950366028401036E-2</v>
      </c>
      <c r="N62" s="25">
        <v>1.1943446801788271E-2</v>
      </c>
      <c r="O62" s="25">
        <v>1.2258726961406771E-2</v>
      </c>
      <c r="P62" s="25">
        <v>1.3540278850103235E-2</v>
      </c>
    </row>
    <row r="63" spans="2:23" x14ac:dyDescent="0.3">
      <c r="B63" s="33" t="s">
        <v>72</v>
      </c>
      <c r="C63" s="10" t="s">
        <v>208</v>
      </c>
      <c r="D63" s="12">
        <v>2</v>
      </c>
      <c r="E63" s="11">
        <v>8</v>
      </c>
      <c r="F63" s="25">
        <v>0</v>
      </c>
      <c r="G63" s="25">
        <v>1.1147021393528942E-3</v>
      </c>
      <c r="H63" s="25">
        <v>6.7761803642881584E-3</v>
      </c>
      <c r="I63" s="25">
        <v>7.7608147510623742E-3</v>
      </c>
      <c r="J63" s="25">
        <v>3.1326520918591019E-2</v>
      </c>
      <c r="K63" s="25">
        <v>3.3511692219965958E-2</v>
      </c>
      <c r="L63" s="25">
        <v>3.0337868176548724E-2</v>
      </c>
      <c r="M63" s="25">
        <v>5.5866838880895248E-2</v>
      </c>
      <c r="N63" s="25">
        <v>5.3381145649571249E-2</v>
      </c>
      <c r="O63" s="25">
        <v>6.5767413634093191E-2</v>
      </c>
      <c r="P63" s="25">
        <v>7.4383337458015911E-2</v>
      </c>
    </row>
    <row r="64" spans="2:23" x14ac:dyDescent="0.3">
      <c r="B64" s="33" t="s">
        <v>72</v>
      </c>
      <c r="C64" s="10" t="s">
        <v>39</v>
      </c>
      <c r="D64" s="12">
        <v>2</v>
      </c>
      <c r="E64" s="11">
        <v>8</v>
      </c>
      <c r="F64" s="25">
        <v>0</v>
      </c>
      <c r="G64" s="25">
        <v>3.0343451705951915E-3</v>
      </c>
      <c r="H64" s="25">
        <v>1.1889349691626243E-2</v>
      </c>
      <c r="I64" s="25">
        <v>1.8976481651681705E-2</v>
      </c>
      <c r="J64" s="25">
        <v>4.4939297512300927E-2</v>
      </c>
      <c r="K64" s="25">
        <v>4.3233490048576559E-2</v>
      </c>
      <c r="L64" s="25">
        <v>3.9144857276729547E-2</v>
      </c>
      <c r="M64" s="25">
        <v>7.6679907652373966E-2</v>
      </c>
      <c r="N64" s="25">
        <v>6.0160572207399926E-2</v>
      </c>
      <c r="O64" s="25">
        <v>7.0176542659760949E-2</v>
      </c>
      <c r="P64" s="25">
        <v>7.6834108217451111E-2</v>
      </c>
    </row>
    <row r="65" spans="2:16" x14ac:dyDescent="0.3">
      <c r="B65" s="33" t="s">
        <v>72</v>
      </c>
      <c r="C65" s="10" t="s">
        <v>40</v>
      </c>
      <c r="D65" s="12">
        <v>6</v>
      </c>
      <c r="E65" s="11">
        <v>9</v>
      </c>
      <c r="F65" s="25">
        <v>0</v>
      </c>
      <c r="G65" s="25">
        <v>0</v>
      </c>
      <c r="H65" s="25">
        <v>0</v>
      </c>
      <c r="I65" s="25">
        <v>4.5238202164485863E-4</v>
      </c>
      <c r="J65" s="25">
        <v>3.7512184470809384E-3</v>
      </c>
      <c r="K65" s="25">
        <v>4.700836721875888E-3</v>
      </c>
      <c r="L65" s="25">
        <v>5.0053310859879234E-3</v>
      </c>
      <c r="M65" s="25">
        <v>8.0525285615752878E-3</v>
      </c>
      <c r="N65" s="25">
        <v>1.0962590984945257E-2</v>
      </c>
      <c r="O65" s="25">
        <v>1.2902098410281691E-2</v>
      </c>
      <c r="P65" s="25">
        <v>1.8050499253567734E-2</v>
      </c>
    </row>
    <row r="66" spans="2:16" x14ac:dyDescent="0.3">
      <c r="B66" s="33" t="s">
        <v>71</v>
      </c>
      <c r="C66" s="11" t="s">
        <v>41</v>
      </c>
      <c r="D66" s="12">
        <v>6</v>
      </c>
      <c r="E66" s="11">
        <v>9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8.3139829241961729E-4</v>
      </c>
      <c r="L66" s="25">
        <v>8.7604575398835666E-4</v>
      </c>
      <c r="M66" s="25">
        <v>1.749448518420298E-3</v>
      </c>
      <c r="N66" s="25">
        <v>2.5082483004706798E-3</v>
      </c>
      <c r="O66" s="25">
        <v>3.0265979808922865E-3</v>
      </c>
      <c r="P66" s="25">
        <v>4.5642248464005213E-3</v>
      </c>
    </row>
    <row r="67" spans="2:16" x14ac:dyDescent="0.3">
      <c r="B67" s="33" t="s">
        <v>72</v>
      </c>
      <c r="C67" s="10" t="s">
        <v>42</v>
      </c>
      <c r="D67" s="12">
        <v>4</v>
      </c>
      <c r="E67" s="11">
        <v>10</v>
      </c>
      <c r="F67" s="25">
        <v>0</v>
      </c>
      <c r="G67" s="25">
        <v>0</v>
      </c>
      <c r="H67" s="25">
        <v>1.0717691229725375E-3</v>
      </c>
      <c r="I67" s="25">
        <v>2.1062775811312904E-3</v>
      </c>
      <c r="J67" s="25">
        <v>9.4871808810151927E-3</v>
      </c>
      <c r="K67" s="25">
        <v>1.5744811370915955E-2</v>
      </c>
      <c r="L67" s="25">
        <v>1.896342505488114E-2</v>
      </c>
      <c r="M67" s="25">
        <v>2.7731373834861121E-2</v>
      </c>
      <c r="N67" s="25">
        <v>5.0866894483800128E-2</v>
      </c>
      <c r="O67" s="25">
        <v>6.1352611846960517E-2</v>
      </c>
      <c r="P67" s="25">
        <v>8.8347324314577202E-2</v>
      </c>
    </row>
    <row r="68" spans="2:16" x14ac:dyDescent="0.3">
      <c r="B68" s="33" t="s">
        <v>71</v>
      </c>
      <c r="C68" s="10" t="s">
        <v>43</v>
      </c>
      <c r="D68" s="12">
        <v>4</v>
      </c>
      <c r="E68" s="11">
        <v>10</v>
      </c>
      <c r="F68" s="25">
        <v>0</v>
      </c>
      <c r="G68" s="25">
        <v>0</v>
      </c>
      <c r="H68" s="25">
        <v>0</v>
      </c>
      <c r="I68" s="25">
        <v>0</v>
      </c>
      <c r="J68" s="25">
        <v>4.6829237566351314E-4</v>
      </c>
      <c r="K68" s="25">
        <v>1.0152713900385343E-3</v>
      </c>
      <c r="L68" s="25">
        <v>1.1484026866236941E-3</v>
      </c>
      <c r="M68" s="25">
        <v>1.8398544643597045E-3</v>
      </c>
      <c r="N68" s="25">
        <v>2.8148492106772399E-3</v>
      </c>
      <c r="O68" s="25">
        <v>4.0076331537743162E-3</v>
      </c>
      <c r="P68" s="25">
        <v>5.2548967320662342E-3</v>
      </c>
    </row>
    <row r="69" spans="2:16" x14ac:dyDescent="0.3">
      <c r="B69" s="33" t="s">
        <v>72</v>
      </c>
      <c r="C69" s="10" t="s">
        <v>44</v>
      </c>
      <c r="D69" s="12">
        <v>2</v>
      </c>
      <c r="E69" s="11">
        <v>12</v>
      </c>
      <c r="F69" s="25">
        <v>0</v>
      </c>
      <c r="G69" s="25">
        <v>0</v>
      </c>
      <c r="H69" s="25">
        <v>1.5810313347298067E-4</v>
      </c>
      <c r="I69" s="25">
        <v>5.9346109731897155E-4</v>
      </c>
      <c r="J69" s="25">
        <v>2.2636057485343731E-3</v>
      </c>
      <c r="K69" s="25">
        <v>1.9855496242522901E-3</v>
      </c>
      <c r="L69" s="25">
        <v>1.6935148697164808E-3</v>
      </c>
      <c r="M69" s="25">
        <v>4.3219342407916543E-3</v>
      </c>
      <c r="N69" s="25">
        <v>2.9724115028039993E-3</v>
      </c>
      <c r="O69" s="25">
        <v>3.891476017430044E-3</v>
      </c>
      <c r="P69" s="25">
        <v>4.702080416943295E-3</v>
      </c>
    </row>
    <row r="70" spans="2:16" x14ac:dyDescent="0.3">
      <c r="B70" s="33" t="s">
        <v>71</v>
      </c>
      <c r="C70" s="10" t="s">
        <v>45</v>
      </c>
      <c r="D70" s="12">
        <v>2</v>
      </c>
      <c r="E70" s="11">
        <v>10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</row>
    <row r="71" spans="2:16" x14ac:dyDescent="0.3">
      <c r="B71" s="33" t="s">
        <v>72</v>
      </c>
      <c r="C71" s="10" t="s">
        <v>46</v>
      </c>
      <c r="D71" s="12">
        <v>2</v>
      </c>
      <c r="E71" s="11">
        <v>10</v>
      </c>
      <c r="F71" s="25">
        <v>0</v>
      </c>
      <c r="G71" s="25">
        <v>5.778715884205872E-4</v>
      </c>
      <c r="H71" s="25">
        <v>1.4170290408256363E-3</v>
      </c>
      <c r="I71" s="25">
        <v>2.439874509587913E-3</v>
      </c>
      <c r="J71" s="25">
        <v>6.700710629519423E-3</v>
      </c>
      <c r="K71" s="25">
        <v>5.6482769418691849E-3</v>
      </c>
      <c r="L71" s="25">
        <v>4.9013316721845425E-3</v>
      </c>
      <c r="M71" s="25">
        <v>1.4523002745079656E-2</v>
      </c>
      <c r="N71" s="25">
        <v>9.6893519048541678E-3</v>
      </c>
      <c r="O71" s="25">
        <v>1.2487897979441383E-2</v>
      </c>
      <c r="P71" s="25">
        <v>1.5687441162093162E-2</v>
      </c>
    </row>
    <row r="72" spans="2:16" x14ac:dyDescent="0.3">
      <c r="B72" s="33" t="s">
        <v>71</v>
      </c>
      <c r="C72" s="10" t="s">
        <v>47</v>
      </c>
      <c r="D72" s="12">
        <v>6</v>
      </c>
      <c r="E72" s="11">
        <v>11</v>
      </c>
      <c r="F72" s="25">
        <v>0</v>
      </c>
      <c r="G72" s="25">
        <v>0</v>
      </c>
      <c r="H72" s="25">
        <v>0</v>
      </c>
      <c r="I72" s="25">
        <v>0</v>
      </c>
      <c r="J72" s="25">
        <v>7.3506295617295557E-4</v>
      </c>
      <c r="K72" s="25">
        <v>1.0807223882794135E-3</v>
      </c>
      <c r="L72" s="25">
        <v>1.2028093418005891E-3</v>
      </c>
      <c r="M72" s="25">
        <v>2.5028123422155858E-3</v>
      </c>
      <c r="N72" s="25">
        <v>3.0213527202901658E-3</v>
      </c>
      <c r="O72" s="25">
        <v>3.6917333802095726E-3</v>
      </c>
      <c r="P72" s="25">
        <v>5.6934399116595376E-3</v>
      </c>
    </row>
    <row r="73" spans="2:16" x14ac:dyDescent="0.3">
      <c r="B73" s="33" t="s">
        <v>72</v>
      </c>
      <c r="C73" s="10" t="s">
        <v>48</v>
      </c>
      <c r="D73" s="12">
        <v>4</v>
      </c>
      <c r="E73" s="11">
        <v>12</v>
      </c>
      <c r="F73" s="25">
        <v>0</v>
      </c>
      <c r="G73" s="25">
        <v>0</v>
      </c>
      <c r="H73" s="25">
        <v>2.2366887333734515E-4</v>
      </c>
      <c r="I73" s="25">
        <v>4.6127613124989425E-4</v>
      </c>
      <c r="J73" s="25">
        <v>2.7026909908994508E-3</v>
      </c>
      <c r="K73" s="25">
        <v>4.0101954120280048E-3</v>
      </c>
      <c r="L73" s="25">
        <v>4.6083057157553422E-3</v>
      </c>
      <c r="M73" s="25">
        <v>9.511079997302066E-3</v>
      </c>
      <c r="N73" s="25">
        <v>1.3996228531665014E-2</v>
      </c>
      <c r="O73" s="25">
        <v>1.8148217820834193E-2</v>
      </c>
      <c r="P73" s="25">
        <v>2.8401862064962452E-2</v>
      </c>
    </row>
    <row r="74" spans="2:16" x14ac:dyDescent="0.3">
      <c r="B74" s="33" t="s">
        <v>71</v>
      </c>
      <c r="C74" s="10" t="s">
        <v>49</v>
      </c>
      <c r="D74" s="12">
        <v>2</v>
      </c>
      <c r="E74" s="11">
        <v>12</v>
      </c>
      <c r="F74" s="25">
        <v>0</v>
      </c>
      <c r="G74" s="25">
        <v>0</v>
      </c>
      <c r="H74" s="25">
        <v>0</v>
      </c>
      <c r="I74" s="25">
        <v>0</v>
      </c>
      <c r="J74" s="25">
        <v>8.7972831302086355E-4</v>
      </c>
      <c r="K74" s="25">
        <v>6.0330434942537344E-4</v>
      </c>
      <c r="L74" s="25">
        <v>6.5853549814684519E-4</v>
      </c>
      <c r="M74" s="25">
        <v>2.4679184625179575E-3</v>
      </c>
      <c r="N74" s="25">
        <v>1.2975055631570054E-3</v>
      </c>
      <c r="O74" s="25">
        <v>2.0324379384633485E-3</v>
      </c>
      <c r="P74" s="25">
        <v>2.7511626999635877E-3</v>
      </c>
    </row>
    <row r="75" spans="2:16" x14ac:dyDescent="0.3">
      <c r="B75" s="33" t="s">
        <v>71</v>
      </c>
      <c r="C75" s="22" t="s">
        <v>50</v>
      </c>
      <c r="D75" s="23">
        <v>2</v>
      </c>
      <c r="E75" s="24">
        <v>12</v>
      </c>
      <c r="F75" s="26">
        <v>0</v>
      </c>
      <c r="G75" s="26">
        <v>0</v>
      </c>
      <c r="H75" s="26">
        <v>0</v>
      </c>
      <c r="I75" s="26">
        <v>1.3877264157514485E-4</v>
      </c>
      <c r="J75" s="26">
        <v>9.9504508106009739E-4</v>
      </c>
      <c r="K75" s="26">
        <v>5.2086357551265131E-4</v>
      </c>
      <c r="L75" s="26">
        <v>4.0088649292048951E-4</v>
      </c>
      <c r="M75" s="26">
        <v>2.9806856502399798E-3</v>
      </c>
      <c r="N75" s="26">
        <v>7.3006360181273667E-4</v>
      </c>
      <c r="O75" s="26">
        <v>2.0294040338841349E-3</v>
      </c>
      <c r="P75" s="26">
        <v>2.8239116003417088E-3</v>
      </c>
    </row>
    <row r="76" spans="2:16" x14ac:dyDescent="0.3">
      <c r="C76" s="6"/>
    </row>
  </sheetData>
  <mergeCells count="2">
    <mergeCell ref="F19:P19"/>
    <mergeCell ref="B18:B19"/>
  </mergeCells>
  <conditionalFormatting sqref="B20:B75">
    <cfRule type="containsText" dxfId="3" priority="2" operator="containsText" text="No">
      <formula>NOT(ISERROR(SEARCH("No",B20)))</formula>
    </cfRule>
    <cfRule type="containsText" dxfId="2" priority="3" operator="containsText" text="Yes">
      <formula>NOT(ISERROR(SEARCH("Yes",B20)))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98C2-0EE4-47A3-AA88-B691DA6E7E93}">
  <dimension ref="B2:X79"/>
  <sheetViews>
    <sheetView zoomScaleNormal="100" workbookViewId="0">
      <selection activeCell="F16" sqref="F16"/>
    </sheetView>
  </sheetViews>
  <sheetFormatPr defaultColWidth="9.109375" defaultRowHeight="14.4" x14ac:dyDescent="0.3"/>
  <cols>
    <col min="1" max="1" width="4.6640625" style="2" customWidth="1"/>
    <col min="2" max="2" width="11.109375" style="2" customWidth="1"/>
    <col min="3" max="3" width="21.6640625" style="1" customWidth="1"/>
    <col min="4" max="4" width="10.6640625" style="2" customWidth="1"/>
    <col min="5" max="5" width="19.33203125" style="2" customWidth="1"/>
    <col min="6" max="6" width="10.6640625" style="2" bestFit="1" customWidth="1"/>
    <col min="7" max="7" width="10.6640625" style="2" customWidth="1"/>
    <col min="8" max="9" width="10.6640625" style="5" bestFit="1" customWidth="1"/>
    <col min="10" max="10" width="10.6640625" style="5" customWidth="1"/>
    <col min="11" max="16" width="10.6640625" style="5" bestFit="1" customWidth="1"/>
    <col min="17" max="17" width="9.109375" style="2"/>
    <col min="18" max="18" width="9.109375" style="2" customWidth="1"/>
    <col min="19" max="16384" width="9.109375" style="2"/>
  </cols>
  <sheetData>
    <row r="2" spans="2:16" ht="15.6" x14ac:dyDescent="0.3">
      <c r="B2" s="34" t="s">
        <v>74</v>
      </c>
      <c r="E2" s="38" t="s">
        <v>60</v>
      </c>
      <c r="F2" s="15"/>
      <c r="G2" s="15">
        <f>3*LOG10(G4)</f>
        <v>-1.9775752446071353</v>
      </c>
      <c r="H2" s="15">
        <f>3*LOG10(H4)</f>
        <v>-0.97184295602188353</v>
      </c>
      <c r="I2" s="15">
        <f t="shared" ref="I2:P2" si="0">3*LOG10(I4)</f>
        <v>1.6903185186285816E-3</v>
      </c>
      <c r="J2" s="15">
        <f t="shared" si="0"/>
        <v>1.0001649762382334</v>
      </c>
      <c r="K2" s="15">
        <f t="shared" si="0"/>
        <v>1.5876655633408778</v>
      </c>
      <c r="L2" s="15">
        <f t="shared" si="0"/>
        <v>1.9966779860314894</v>
      </c>
      <c r="M2" s="15">
        <f t="shared" si="0"/>
        <v>2.5760234226220335</v>
      </c>
      <c r="N2" s="15">
        <f t="shared" si="0"/>
        <v>2.9887618998816405</v>
      </c>
      <c r="O2" s="15">
        <f t="shared" si="0"/>
        <v>3.6063324924691038</v>
      </c>
      <c r="P2" s="15">
        <f t="shared" si="0"/>
        <v>4.0055987397662083</v>
      </c>
    </row>
    <row r="3" spans="2:16" ht="16.2" x14ac:dyDescent="0.25">
      <c r="B3" s="34" t="s">
        <v>140</v>
      </c>
      <c r="C3" s="2"/>
      <c r="E3" s="4" t="s">
        <v>141</v>
      </c>
      <c r="F3" s="19" t="s">
        <v>59</v>
      </c>
      <c r="G3" s="14">
        <v>168.147540983607</v>
      </c>
      <c r="H3" s="14">
        <v>77.704545454545453</v>
      </c>
      <c r="I3" s="14">
        <v>36.807416267942592</v>
      </c>
      <c r="J3" s="14">
        <v>17.104502501389664</v>
      </c>
      <c r="K3" s="14">
        <v>10.896246458923514</v>
      </c>
      <c r="L3" s="14">
        <v>7.9604834471886505</v>
      </c>
      <c r="M3" s="14">
        <v>5.1029850746268659</v>
      </c>
      <c r="N3" s="14">
        <v>3.7174471730439747</v>
      </c>
      <c r="O3" s="14">
        <v>2.3141310069940588</v>
      </c>
      <c r="P3" s="14">
        <v>1.7033315565031983</v>
      </c>
    </row>
    <row r="4" spans="2:16" ht="18" customHeight="1" x14ac:dyDescent="0.3">
      <c r="B4" s="36"/>
      <c r="C4" s="2"/>
      <c r="E4" s="16" t="s">
        <v>179</v>
      </c>
      <c r="F4" s="17">
        <v>0</v>
      </c>
      <c r="G4" s="18">
        <f>1/(G3/46.069*5/4)</f>
        <v>0.21918369893731052</v>
      </c>
      <c r="H4" s="18">
        <f>1/(H3/46.069*5/4)</f>
        <v>0.47429915179877158</v>
      </c>
      <c r="I4" s="18">
        <f t="shared" ref="I4:P4" si="1">1/(I3/46.069*5/4)</f>
        <v>1.0012982093529621</v>
      </c>
      <c r="J4" s="18">
        <f t="shared" si="1"/>
        <v>2.1547075103181563</v>
      </c>
      <c r="K4" s="18">
        <f t="shared" si="1"/>
        <v>3.3823757693932595</v>
      </c>
      <c r="L4" s="18">
        <f t="shared" si="1"/>
        <v>4.6297690642163074</v>
      </c>
      <c r="M4" s="18">
        <f t="shared" si="1"/>
        <v>7.2222825387540217</v>
      </c>
      <c r="N4" s="18">
        <f t="shared" si="1"/>
        <v>9.9141153281868135</v>
      </c>
      <c r="O4" s="18">
        <f t="shared" si="1"/>
        <v>15.926151064313803</v>
      </c>
      <c r="P4" s="18">
        <f t="shared" si="1"/>
        <v>21.637126288942088</v>
      </c>
    </row>
    <row r="6" spans="2:16" x14ac:dyDescent="0.3">
      <c r="C6" s="2" t="s">
        <v>51</v>
      </c>
      <c r="E6" s="20" t="s">
        <v>61</v>
      </c>
      <c r="F6" s="29">
        <f t="shared" ref="F6:P6" si="2">+SUMPRODUCT(F20:F75,$E$20:$E$75)/SUMPRODUCT($F$20:$F$75,$E$20:$E$75)</f>
        <v>1</v>
      </c>
      <c r="G6" s="29">
        <f t="shared" si="2"/>
        <v>0.97154355059408848</v>
      </c>
      <c r="H6" s="29">
        <f t="shared" si="2"/>
        <v>1.0194231421995528</v>
      </c>
      <c r="I6" s="29">
        <f t="shared" si="2"/>
        <v>0.9826519591105779</v>
      </c>
      <c r="J6" s="29">
        <f t="shared" si="2"/>
        <v>0.98749412065093867</v>
      </c>
      <c r="K6" s="29">
        <f t="shared" si="2"/>
        <v>0.98915118394797852</v>
      </c>
      <c r="L6" s="29">
        <f t="shared" si="2"/>
        <v>0.96210908059420697</v>
      </c>
      <c r="M6" s="29">
        <f t="shared" si="2"/>
        <v>0.97325221453718436</v>
      </c>
      <c r="N6" s="29">
        <f t="shared" si="2"/>
        <v>0.94556130505324154</v>
      </c>
      <c r="O6" s="29">
        <f t="shared" si="2"/>
        <v>0.93009519199780777</v>
      </c>
      <c r="P6" s="29">
        <f t="shared" si="2"/>
        <v>0.92215808255045495</v>
      </c>
    </row>
    <row r="7" spans="2:16" x14ac:dyDescent="0.3">
      <c r="C7" s="2">
        <v>2</v>
      </c>
      <c r="E7" s="1" t="s">
        <v>62</v>
      </c>
      <c r="F7" s="28" cm="1">
        <f t="array" ref="F7">+SUMPRODUCT(IF($D$20:$D$75=$C7,1,0),$E$20:$E$75,F$20:F$75)/SUMPRODUCT($F$20:$F$75,$E$20:$E$75)</f>
        <v>1</v>
      </c>
      <c r="G7" s="28" cm="1">
        <f t="array" ref="G7">+SUMPRODUCT(IF($D$20:$D$75=$C7,1,0),$E$20:$E$75,G$20:G$75)/SUMPRODUCT($F$20:$F$75,$E$20:$E$75)</f>
        <v>0.94708213839251998</v>
      </c>
      <c r="H7" s="28" cm="1">
        <f t="array" ref="H7">+SUMPRODUCT(IF($D$20:$D$75=$C7,1,0),$E$20:$E$75,H$20:H$75)/SUMPRODUCT($F$20:$F$75,$E$20:$E$75)</f>
        <v>0.96137159370098546</v>
      </c>
      <c r="I7" s="28" cm="1">
        <f t="array" ref="I7">+SUMPRODUCT(IF($D$20:$D$75=$C7,1,0),$E$20:$E$75,I$20:I$75)/SUMPRODUCT($F$20:$F$75,$E$20:$E$75)</f>
        <v>0.89251948496435274</v>
      </c>
      <c r="J7" s="28" cm="1">
        <f t="array" ref="J7">+SUMPRODUCT(IF($D$20:$D$75=$C7,1,0),$E$20:$E$75,J$20:J$75)/SUMPRODUCT($F$20:$F$75,$E$20:$E$75)</f>
        <v>0.87455359117893261</v>
      </c>
      <c r="K7" s="28" cm="1">
        <f t="array" ref="K7">+SUMPRODUCT(IF($D$20:$D$75=$C7,1,0),$E$20:$E$75,K$20:K$75)/SUMPRODUCT($F$20:$F$75,$E$20:$E$75)</f>
        <v>0.80152988594460228</v>
      </c>
      <c r="L7" s="28" cm="1">
        <f t="array" ref="L7">+SUMPRODUCT(IF($D$20:$D$75=$C7,1,0),$E$20:$E$75,L$20:L$75)/SUMPRODUCT($F$20:$F$75,$E$20:$E$75)</f>
        <v>0.79705059509539022</v>
      </c>
      <c r="M7" s="28" cm="1">
        <f t="array" ref="M7">+SUMPRODUCT(IF($D$20:$D$75=$C7,1,0),$E$20:$E$75,M$20:M$75)/SUMPRODUCT($F$20:$F$75,$E$20:$E$75)</f>
        <v>0.76410971551745144</v>
      </c>
      <c r="N7" s="28" cm="1">
        <f t="array" ref="N7">+SUMPRODUCT(IF($D$20:$D$75=$C7,1,0),$E$20:$E$75,N$20:N$75)/SUMPRODUCT($F$20:$F$75,$E$20:$E$75)</f>
        <v>0.68866561669685833</v>
      </c>
      <c r="O7" s="28" cm="1">
        <f t="array" ref="O7">+SUMPRODUCT(IF($D$20:$D$75=$C7,1,0),$E$20:$E$75,O$20:O$75)/SUMPRODUCT($F$20:$F$75,$E$20:$E$75)</f>
        <v>0.67538382291628463</v>
      </c>
      <c r="P7" s="28" cm="1">
        <f t="array" ref="P7">+SUMPRODUCT(IF($D$20:$D$75=$C7,1,0),$E$20:$E$75,P$20:P$75)/SUMPRODUCT($F$20:$F$75,$E$20:$E$75)</f>
        <v>0.65693385040628183</v>
      </c>
    </row>
    <row r="8" spans="2:16" x14ac:dyDescent="0.3">
      <c r="C8" s="2">
        <v>3</v>
      </c>
      <c r="E8" s="1" t="s">
        <v>63</v>
      </c>
      <c r="F8" s="28" cm="1">
        <f t="array" ref="F8">+SUMPRODUCT(IF($D$20:$D$75=$C8,1,0),$E$20:$E$75,F$20:F$75)/SUMPRODUCT($F$20:$F$75,$E$20:$E$75)</f>
        <v>0</v>
      </c>
      <c r="G8" s="28" cm="1">
        <f t="array" ref="G8">+SUMPRODUCT(IF($D$20:$D$75=$C8,1,0),$E$20:$E$75,G$20:G$75)/SUMPRODUCT($F$20:$F$75,$E$20:$E$75)</f>
        <v>2.1586704494338169E-2</v>
      </c>
      <c r="H8" s="28" cm="1">
        <f t="array" ref="H8">+SUMPRODUCT(IF($D$20:$D$75=$C8,1,0),$E$20:$E$75,H$20:H$75)/SUMPRODUCT($F$20:$F$75,$E$20:$E$75)</f>
        <v>5.0614554264508484E-2</v>
      </c>
      <c r="I8" s="28" cm="1">
        <f t="array" ref="I8">+SUMPRODUCT(IF($D$20:$D$75=$C8,1,0),$E$20:$E$75,I$20:I$75)/SUMPRODUCT($F$20:$F$75,$E$20:$E$75)</f>
        <v>6.9000066546908281E-2</v>
      </c>
      <c r="J8" s="28" cm="1">
        <f t="array" ref="J8">+SUMPRODUCT(IF($D$20:$D$75=$C8,1,0),$E$20:$E$75,J$20:J$75)/SUMPRODUCT($F$20:$F$75,$E$20:$E$75)</f>
        <v>9.3108996185914158E-2</v>
      </c>
      <c r="K8" s="28" cm="1">
        <f t="array" ref="K8">+SUMPRODUCT(IF($D$20:$D$75=$C8,1,0),$E$20:$E$75,K$20:K$75)/SUMPRODUCT($F$20:$F$75,$E$20:$E$75)</f>
        <v>0.12374688510795667</v>
      </c>
      <c r="L8" s="28" cm="1">
        <f t="array" ref="L8">+SUMPRODUCT(IF($D$20:$D$75=$C8,1,0),$E$20:$E$75,L$20:L$75)/SUMPRODUCT($F$20:$F$75,$E$20:$E$75)</f>
        <v>0.1150334112464237</v>
      </c>
      <c r="M8" s="28" cm="1">
        <f t="array" ref="M8">+SUMPRODUCT(IF($D$20:$D$75=$C8,1,0),$E$20:$E$75,M$20:M$75)/SUMPRODUCT($F$20:$F$75,$E$20:$E$75)</f>
        <v>0.12099764953859377</v>
      </c>
      <c r="N8" s="28" cm="1">
        <f t="array" ref="N8">+SUMPRODUCT(IF($D$20:$D$75=$C8,1,0),$E$20:$E$75,N$20:N$75)/SUMPRODUCT($F$20:$F$75,$E$20:$E$75)</f>
        <v>9.5922716700625646E-2</v>
      </c>
      <c r="O8" s="28" cm="1">
        <f t="array" ref="O8">+SUMPRODUCT(IF($D$20:$D$75=$C8,1,0),$E$20:$E$75,O$20:O$75)/SUMPRODUCT($F$20:$F$75,$E$20:$E$75)</f>
        <v>9.7013632478634662E-2</v>
      </c>
      <c r="P8" s="28" cm="1">
        <f t="array" ref="P8">+SUMPRODUCT(IF($D$20:$D$75=$C8,1,0),$E$20:$E$75,P$20:P$75)/SUMPRODUCT($F$20:$F$75,$E$20:$E$75)</f>
        <v>9.1708308944226255E-2</v>
      </c>
    </row>
    <row r="9" spans="2:16" x14ac:dyDescent="0.3">
      <c r="C9" s="2">
        <v>4</v>
      </c>
      <c r="E9" s="1" t="s">
        <v>64</v>
      </c>
      <c r="F9" s="28" cm="1">
        <f t="array" ref="F9">+SUMPRODUCT(IF($D$20:$D$75=$C9,1,0),$E$20:$E$75,F$20:F$75)/SUMPRODUCT($F$20:$F$75,$E$20:$E$75)</f>
        <v>0</v>
      </c>
      <c r="G9" s="28" cm="1">
        <f t="array" ref="G9">+SUMPRODUCT(IF($D$20:$D$75=$C9,1,0),$E$20:$E$75,G$20:G$75)/SUMPRODUCT($F$20:$F$75,$E$20:$E$75)</f>
        <v>8.9747573265788251E-4</v>
      </c>
      <c r="H9" s="28" cm="1">
        <f t="array" ref="H9">+SUMPRODUCT(IF($D$20:$D$75=$C9,1,0),$E$20:$E$75,H$20:H$75)/SUMPRODUCT($F$20:$F$75,$E$20:$E$75)</f>
        <v>2.1073221100316847E-3</v>
      </c>
      <c r="I9" s="28" cm="1">
        <f t="array" ref="I9">+SUMPRODUCT(IF($D$20:$D$75=$C9,1,0),$E$20:$E$75,I$20:I$75)/SUMPRODUCT($F$20:$F$75,$E$20:$E$75)</f>
        <v>1.1444655036641297E-2</v>
      </c>
      <c r="J9" s="28" cm="1">
        <f t="array" ref="J9">+SUMPRODUCT(IF($D$20:$D$75=$C9,1,0),$E$20:$E$75,J$20:J$75)/SUMPRODUCT($F$20:$F$75,$E$20:$E$75)</f>
        <v>9.9445040504788883E-3</v>
      </c>
      <c r="K9" s="28" cm="1">
        <f t="array" ref="K9">+SUMPRODUCT(IF($D$20:$D$75=$C9,1,0),$E$20:$E$75,K$20:K$75)/SUMPRODUCT($F$20:$F$75,$E$20:$E$75)</f>
        <v>4.6772033341052531E-2</v>
      </c>
      <c r="L9" s="28" cm="1">
        <f t="array" ref="L9">+SUMPRODUCT(IF($D$20:$D$75=$C9,1,0),$E$20:$E$75,L$20:L$75)/SUMPRODUCT($F$20:$F$75,$E$20:$E$75)</f>
        <v>3.6856845201557867E-2</v>
      </c>
      <c r="M9" s="28" cm="1">
        <f t="array" ref="M9">+SUMPRODUCT(IF($D$20:$D$75=$C9,1,0),$E$20:$E$75,M$20:M$75)/SUMPRODUCT($F$20:$F$75,$E$20:$E$75)</f>
        <v>6.7214580415372871E-2</v>
      </c>
      <c r="N9" s="28" cm="1">
        <f t="array" ref="N9">+SUMPRODUCT(IF($D$20:$D$75=$C9,1,0),$E$20:$E$75,N$20:N$75)/SUMPRODUCT($F$20:$F$75,$E$20:$E$75)</f>
        <v>0.12602307688501074</v>
      </c>
      <c r="O9" s="28" cm="1">
        <f t="array" ref="O9">+SUMPRODUCT(IF($D$20:$D$75=$C9,1,0),$E$20:$E$75,O$20:O$75)/SUMPRODUCT($F$20:$F$75,$E$20:$E$75)</f>
        <v>0.12468723556623774</v>
      </c>
      <c r="P9" s="28" cm="1">
        <f t="array" ref="P9">+SUMPRODUCT(IF($D$20:$D$75=$C9,1,0),$E$20:$E$75,P$20:P$75)/SUMPRODUCT($F$20:$F$75,$E$20:$E$75)</f>
        <v>0.13926632299227676</v>
      </c>
    </row>
    <row r="10" spans="2:16" x14ac:dyDescent="0.3">
      <c r="C10" s="2">
        <v>8</v>
      </c>
      <c r="E10" s="1" t="s">
        <v>65</v>
      </c>
      <c r="F10" s="28" cm="1">
        <f t="array" ref="F10">+SUMPRODUCT(IF($D$20:$D$75=$C10,1,0),$E$20:$E$75,F$20:F$75)/SUMPRODUCT($F$20:$F$75,$E$20:$E$75)</f>
        <v>0</v>
      </c>
      <c r="G10" s="28" cm="1">
        <f t="array" ref="G10">+SUMPRODUCT(IF($D$20:$D$75=$C10,1,0),$E$20:$E$75,G$20:G$75)/SUMPRODUCT($F$20:$F$75,$E$20:$E$75)</f>
        <v>0</v>
      </c>
      <c r="H10" s="28" cm="1">
        <f t="array" ref="H10">+SUMPRODUCT(IF($D$20:$D$75=$C10,1,0),$E$20:$E$75,H$20:H$75)/SUMPRODUCT($F$20:$F$75,$E$20:$E$75)</f>
        <v>0</v>
      </c>
      <c r="I10" s="28" cm="1">
        <f t="array" ref="I10">+SUMPRODUCT(IF($D$20:$D$75=$C10,1,0),$E$20:$E$75,I$20:I$75)/SUMPRODUCT($F$20:$F$75,$E$20:$E$75)</f>
        <v>0</v>
      </c>
      <c r="J10" s="28" cm="1">
        <f t="array" ref="J10">+SUMPRODUCT(IF($D$20:$D$75=$C10,1,0),$E$20:$E$75,J$20:J$75)/SUMPRODUCT($F$20:$F$75,$E$20:$E$75)</f>
        <v>0</v>
      </c>
      <c r="K10" s="28" cm="1">
        <f t="array" ref="K10">+SUMPRODUCT(IF($D$20:$D$75=$C10,1,0),$E$20:$E$75,K$20:K$75)/SUMPRODUCT($F$20:$F$75,$E$20:$E$75)</f>
        <v>0</v>
      </c>
      <c r="L10" s="28" cm="1">
        <f t="array" ref="L10">+SUMPRODUCT(IF($D$20:$D$75=$C10,1,0),$E$20:$E$75,L$20:L$75)/SUMPRODUCT($F$20:$F$75,$E$20:$E$75)</f>
        <v>0</v>
      </c>
      <c r="M10" s="28" cm="1">
        <f t="array" ref="M10">+SUMPRODUCT(IF($D$20:$D$75=$C10,1,0),$E$20:$E$75,M$20:M$75)/SUMPRODUCT($F$20:$F$75,$E$20:$E$75)</f>
        <v>0</v>
      </c>
      <c r="N10" s="28" cm="1">
        <f t="array" ref="N10">+SUMPRODUCT(IF($D$20:$D$75=$C10,1,0),$E$20:$E$75,N$20:N$75)/SUMPRODUCT($F$20:$F$75,$E$20:$E$75)</f>
        <v>0</v>
      </c>
      <c r="O10" s="28" cm="1">
        <f t="array" ref="O10">+SUMPRODUCT(IF($D$20:$D$75=$C10,1,0),$E$20:$E$75,O$20:O$75)/SUMPRODUCT($F$20:$F$75,$E$20:$E$75)</f>
        <v>0</v>
      </c>
      <c r="P10" s="28" cm="1">
        <f t="array" ref="P10">+SUMPRODUCT(IF($D$20:$D$75=$C10,1,0),$E$20:$E$75,P$20:P$75)/SUMPRODUCT($F$20:$F$75,$E$20:$E$75)</f>
        <v>0</v>
      </c>
    </row>
    <row r="11" spans="2:16" x14ac:dyDescent="0.3">
      <c r="C11" s="2">
        <v>7</v>
      </c>
      <c r="E11" s="1" t="s">
        <v>66</v>
      </c>
      <c r="F11" s="28" cm="1">
        <f t="array" ref="F11">+SUMPRODUCT(IF($D$20:$D$75=$C11,1,0),$E$20:$E$75,F$20:F$75)/SUMPRODUCT($F$20:$F$75,$E$20:$E$75)</f>
        <v>0</v>
      </c>
      <c r="G11" s="28" cm="1">
        <f t="array" ref="G11">+SUMPRODUCT(IF($D$20:$D$75=$C11,1,0),$E$20:$E$75,G$20:G$75)/SUMPRODUCT($F$20:$F$75,$E$20:$E$75)</f>
        <v>0</v>
      </c>
      <c r="H11" s="28" cm="1">
        <f t="array" ref="H11">+SUMPRODUCT(IF($D$20:$D$75=$C11,1,0),$E$20:$E$75,H$20:H$75)/SUMPRODUCT($F$20:$F$75,$E$20:$E$75)</f>
        <v>0</v>
      </c>
      <c r="I11" s="28" cm="1">
        <f t="array" ref="I11">+SUMPRODUCT(IF($D$20:$D$75=$C11,1,0),$E$20:$E$75,I$20:I$75)/SUMPRODUCT($F$20:$F$75,$E$20:$E$75)</f>
        <v>3.2051394054182061E-4</v>
      </c>
      <c r="J11" s="28" cm="1">
        <f t="array" ref="J11">+SUMPRODUCT(IF($D$20:$D$75=$C11,1,0),$E$20:$E$75,J$20:J$75)/SUMPRODUCT($F$20:$F$75,$E$20:$E$75)</f>
        <v>5.0033192943356518E-4</v>
      </c>
      <c r="K11" s="28" cm="1">
        <f t="array" ref="K11">+SUMPRODUCT(IF($D$20:$D$75=$C11,1,0),$E$20:$E$75,K$20:K$75)/SUMPRODUCT($F$20:$F$75,$E$20:$E$75)</f>
        <v>1.1864731368852568E-3</v>
      </c>
      <c r="L11" s="28" cm="1">
        <f t="array" ref="L11">+SUMPRODUCT(IF($D$20:$D$75=$C11,1,0),$E$20:$E$75,L$20:L$75)/SUMPRODUCT($F$20:$F$75,$E$20:$E$75)</f>
        <v>9.5161572066369783E-4</v>
      </c>
      <c r="M11" s="28" cm="1">
        <f t="array" ref="M11">+SUMPRODUCT(IF($D$20:$D$75=$C11,1,0),$E$20:$E$75,M$20:M$75)/SUMPRODUCT($F$20:$F$75,$E$20:$E$75)</f>
        <v>1.7257052476042673E-3</v>
      </c>
      <c r="N11" s="28" cm="1">
        <f t="array" ref="N11">+SUMPRODUCT(IF($D$20:$D$75=$C11,1,0),$E$20:$E$75,N$20:N$75)/SUMPRODUCT($F$20:$F$75,$E$20:$E$75)</f>
        <v>1.8515091892756159E-3</v>
      </c>
      <c r="O11" s="28" cm="1">
        <f t="array" ref="O11">+SUMPRODUCT(IF($D$20:$D$75=$C11,1,0),$E$20:$E$75,O$20:O$75)/SUMPRODUCT($F$20:$F$75,$E$20:$E$75)</f>
        <v>1.9605613296322156E-3</v>
      </c>
      <c r="P11" s="28" cm="1">
        <f t="array" ref="P11">+SUMPRODUCT(IF($D$20:$D$75=$C11,1,0),$E$20:$E$75,P$20:P$75)/SUMPRODUCT($F$20:$F$75,$E$20:$E$75)</f>
        <v>2.2317405494232979E-3</v>
      </c>
    </row>
    <row r="12" spans="2:16" x14ac:dyDescent="0.3">
      <c r="C12" s="2">
        <v>6</v>
      </c>
      <c r="E12" s="1" t="s">
        <v>67</v>
      </c>
      <c r="F12" s="28" cm="1">
        <f t="array" ref="F12">+SUMPRODUCT(IF($D$20:$D$75=$C12,1,0),$E$20:$E$75,F$20:F$75)/SUMPRODUCT($F$20:$F$75,$E$20:$E$75)</f>
        <v>0</v>
      </c>
      <c r="G12" s="28" cm="1">
        <f t="array" ref="G12">+SUMPRODUCT(IF($D$20:$D$75=$C12,1,0),$E$20:$E$75,G$20:G$75)/SUMPRODUCT($F$20:$F$75,$E$20:$E$75)</f>
        <v>1.282550607616863E-3</v>
      </c>
      <c r="H12" s="28" cm="1">
        <f t="array" ref="H12">+SUMPRODUCT(IF($D$20:$D$75=$C12,1,0),$E$20:$E$75,H$20:H$75)/SUMPRODUCT($F$20:$F$75,$E$20:$E$75)</f>
        <v>3.4065040403925525E-3</v>
      </c>
      <c r="I12" s="28" cm="1">
        <f t="array" ref="I12">+SUMPRODUCT(IF($D$20:$D$75=$C12,1,0),$E$20:$E$75,I$20:I$75)/SUMPRODUCT($F$20:$F$75,$E$20:$E$75)</f>
        <v>4.525109427266515E-3</v>
      </c>
      <c r="J12" s="28" cm="1">
        <f t="array" ref="J12">+SUMPRODUCT(IF($D$20:$D$75=$C12,1,0),$E$20:$E$75,J$20:J$75)/SUMPRODUCT($F$20:$F$75,$E$20:$E$75)</f>
        <v>5.7434542696807997E-3</v>
      </c>
      <c r="K12" s="28" cm="1">
        <f t="array" ref="K12">+SUMPRODUCT(IF($D$20:$D$75=$C12,1,0),$E$20:$E$75,K$20:K$75)/SUMPRODUCT($F$20:$F$75,$E$20:$E$75)</f>
        <v>1.3120130686369353E-2</v>
      </c>
      <c r="L12" s="28" cm="1">
        <f t="array" ref="L12">+SUMPRODUCT(IF($D$20:$D$75=$C12,1,0),$E$20:$E$75,L$20:L$75)/SUMPRODUCT($F$20:$F$75,$E$20:$E$75)</f>
        <v>9.7806310876298892E-3</v>
      </c>
      <c r="M12" s="28" cm="1">
        <f t="array" ref="M12">+SUMPRODUCT(IF($D$20:$D$75=$C12,1,0),$E$20:$E$75,M$20:M$75)/SUMPRODUCT($F$20:$F$75,$E$20:$E$75)</f>
        <v>1.6669292010333861E-2</v>
      </c>
      <c r="N12" s="28" cm="1">
        <f t="array" ref="N12">+SUMPRODUCT(IF($D$20:$D$75=$C12,1,0),$E$20:$E$75,N$20:N$75)/SUMPRODUCT($F$20:$F$75,$E$20:$E$75)</f>
        <v>3.0791269022112353E-2</v>
      </c>
      <c r="O12" s="28" cm="1">
        <f t="array" ref="O12">+SUMPRODUCT(IF($D$20:$D$75=$C12,1,0),$E$20:$E$75,O$20:O$75)/SUMPRODUCT($F$20:$F$75,$E$20:$E$75)</f>
        <v>2.8199146232102023E-2</v>
      </c>
      <c r="P12" s="28" cm="1">
        <f t="array" ref="P12">+SUMPRODUCT(IF($D$20:$D$75=$C12,1,0),$E$20:$E$75,P$20:P$75)/SUMPRODUCT($F$20:$F$75,$E$20:$E$75)</f>
        <v>2.9420772436140691E-2</v>
      </c>
    </row>
    <row r="13" spans="2:16" x14ac:dyDescent="0.3">
      <c r="C13" s="2">
        <v>5</v>
      </c>
      <c r="E13" s="1" t="s">
        <v>68</v>
      </c>
      <c r="F13" s="28" cm="1">
        <f t="array" ref="F13">+SUMPRODUCT(IF($D$20:$D$75=$C13,1,0),$E$20:$E$75,F$20:F$75)/SUMPRODUCT($F$20:$F$75,$E$20:$E$75)</f>
        <v>0</v>
      </c>
      <c r="G13" s="28" cm="1">
        <f t="array" ref="G13">+SUMPRODUCT(IF($D$20:$D$75=$C13,1,0),$E$20:$E$75,G$20:G$75)/SUMPRODUCT($F$20:$F$75,$E$20:$E$75)</f>
        <v>6.9468136695535743E-4</v>
      </c>
      <c r="H13" s="28" cm="1">
        <f t="array" ref="H13">+SUMPRODUCT(IF($D$20:$D$75=$C13,1,0),$E$20:$E$75,H$20:H$75)/SUMPRODUCT($F$20:$F$75,$E$20:$E$75)</f>
        <v>1.8535712756343797E-3</v>
      </c>
      <c r="I13" s="28" cm="1">
        <f t="array" ref="I13">+SUMPRODUCT(IF($D$20:$D$75=$C13,1,0),$E$20:$E$75,I$20:I$75)/SUMPRODUCT($F$20:$F$75,$E$20:$E$75)</f>
        <v>9.7310888320314482E-4</v>
      </c>
      <c r="J13" s="28" cm="1">
        <f t="array" ref="J13">+SUMPRODUCT(IF($D$20:$D$75=$C13,1,0),$E$20:$E$75,J$20:J$75)/SUMPRODUCT($F$20:$F$75,$E$20:$E$75)</f>
        <v>2.2387600852176561E-3</v>
      </c>
      <c r="K13" s="28" cm="1">
        <f t="array" ref="K13">+SUMPRODUCT(IF($D$20:$D$75=$C13,1,0),$E$20:$E$75,K$20:K$75)/SUMPRODUCT($F$20:$F$75,$E$20:$E$75)</f>
        <v>1.3722596593949699E-3</v>
      </c>
      <c r="L13" s="28" cm="1">
        <f t="array" ref="L13">+SUMPRODUCT(IF($D$20:$D$75=$C13,1,0),$E$20:$E$75,L$20:L$75)/SUMPRODUCT($F$20:$F$75,$E$20:$E$75)</f>
        <v>1.2015412938313147E-3</v>
      </c>
      <c r="M13" s="28" cm="1">
        <f t="array" ref="M13">+SUMPRODUCT(IF($D$20:$D$75=$C13,1,0),$E$20:$E$75,M$20:M$75)/SUMPRODUCT($F$20:$F$75,$E$20:$E$75)</f>
        <v>1.8429264720013689E-3</v>
      </c>
      <c r="N13" s="28" cm="1">
        <f t="array" ref="N13">+SUMPRODUCT(IF($D$20:$D$75=$C13,1,0),$E$20:$E$75,N$20:N$75)/SUMPRODUCT($F$20:$F$75,$E$20:$E$75)</f>
        <v>1.4056499365016132E-3</v>
      </c>
      <c r="O13" s="28" cm="1">
        <f t="array" ref="O13">+SUMPRODUCT(IF($D$20:$D$75=$C13,1,0),$E$20:$E$75,O$20:O$75)/SUMPRODUCT($F$20:$F$75,$E$20:$E$75)</f>
        <v>1.6877374874105472E-3</v>
      </c>
      <c r="P13" s="28" cm="1">
        <f t="array" ref="P13">+SUMPRODUCT(IF($D$20:$D$75=$C13,1,0),$E$20:$E$75,P$20:P$75)/SUMPRODUCT($F$20:$F$75,$E$20:$E$75)</f>
        <v>2.1506388229530879E-3</v>
      </c>
    </row>
    <row r="14" spans="2:16" x14ac:dyDescent="0.3">
      <c r="E14" s="17" t="s">
        <v>69</v>
      </c>
      <c r="F14" s="32">
        <f>1-SUM(F7:F13)</f>
        <v>0</v>
      </c>
      <c r="G14" s="32">
        <f t="shared" ref="G14:P14" si="3">1-SUM(G7:G13)</f>
        <v>2.8456449405911743E-2</v>
      </c>
      <c r="H14" s="32">
        <f t="shared" si="3"/>
        <v>-1.935354539155254E-2</v>
      </c>
      <c r="I14" s="32">
        <f t="shared" si="3"/>
        <v>2.1217061201086351E-2</v>
      </c>
      <c r="J14" s="32">
        <f t="shared" si="3"/>
        <v>1.3910362300342372E-2</v>
      </c>
      <c r="K14" s="32">
        <f t="shared" si="3"/>
        <v>1.2272332123739016E-2</v>
      </c>
      <c r="L14" s="32">
        <f t="shared" si="3"/>
        <v>3.9125360354503202E-2</v>
      </c>
      <c r="M14" s="32">
        <f t="shared" si="3"/>
        <v>2.7440130798642381E-2</v>
      </c>
      <c r="N14" s="32">
        <f t="shared" si="3"/>
        <v>5.5340161569615742E-2</v>
      </c>
      <c r="O14" s="32">
        <f t="shared" si="3"/>
        <v>7.106786398969811E-2</v>
      </c>
      <c r="P14" s="32">
        <f t="shared" si="3"/>
        <v>7.8288365848698138E-2</v>
      </c>
    </row>
    <row r="15" spans="2:16" x14ac:dyDescent="0.3"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2:16" x14ac:dyDescent="0.3">
      <c r="E16" s="37" t="s">
        <v>73</v>
      </c>
      <c r="F16" s="29" cm="1">
        <f t="array" ref="F16">+SUMPRODUCT(IF($B$20:$B$75="Yes",1,0),$E$20:$E$75,F$20:F$75)/SUMPRODUCT($F$20:$F$75,$E$20:$E$75)</f>
        <v>1</v>
      </c>
      <c r="G16" s="29" cm="1">
        <f t="array" ref="G16">+SUMPRODUCT(IF($B$20:$B$75="Yes",1,0),$E$20:$E$75,G$20:G$75)/SUMPRODUCT($F$20:$F$75,$E$20:$E$75)</f>
        <v>0.9707252432054686</v>
      </c>
      <c r="H16" s="29">
        <v>1</v>
      </c>
      <c r="I16" s="29" cm="1">
        <f t="array" ref="I16">+SUMPRODUCT(IF($B$20:$B$75="Yes",1,0),$E$20:$E$75,I$20:I$75)/SUMPRODUCT($F$20:$F$75,$E$20:$E$75)</f>
        <v>0.97662404741448161</v>
      </c>
      <c r="J16" s="29" cm="1">
        <f t="array" ref="J16">+SUMPRODUCT(IF($B$20:$B$75="Yes",1,0),$E$20:$E$75,J$20:J$75)/SUMPRODUCT($F$20:$F$75,$E$20:$E$75)</f>
        <v>0.98172645799439606</v>
      </c>
      <c r="K16" s="29" cm="1">
        <f t="array" ref="K16">+SUMPRODUCT(IF($B$20:$B$75="Yes",1,0),$E$20:$E$75,K$20:K$75)/SUMPRODUCT($F$20:$F$75,$E$20:$E$75)</f>
        <v>0.98019233716794496</v>
      </c>
      <c r="L16" s="29" cm="1">
        <f t="array" ref="L16">+SUMPRODUCT(IF($B$20:$B$75="Yes",1,0),$E$20:$E$75,L$20:L$75)/SUMPRODUCT($F$20:$F$75,$E$20:$E$75)</f>
        <v>0.95371014589381653</v>
      </c>
      <c r="M16" s="29" cm="1">
        <f t="array" ref="M16">+SUMPRODUCT(IF($B$20:$B$75="Yes",1,0),$E$20:$E$75,M$20:M$75)/SUMPRODUCT($F$20:$F$75,$E$20:$E$75)</f>
        <v>0.96145001091687132</v>
      </c>
      <c r="N16" s="29" cm="1">
        <f t="array" ref="N16">+SUMPRODUCT(IF($B$20:$B$75="Yes",1,0),$E$20:$E$75,N$20:N$75)/SUMPRODUCT($F$20:$F$75,$E$20:$E$75)</f>
        <v>0.92906296012431067</v>
      </c>
      <c r="O16" s="29" cm="1">
        <f t="array" ref="O16">+SUMPRODUCT(IF($B$20:$B$75="Yes",1,0),$E$20:$E$75,O$20:O$75)/SUMPRODUCT($F$20:$F$75,$E$20:$E$75)</f>
        <v>0.9134941320721911</v>
      </c>
      <c r="P16" s="29" cm="1">
        <f t="array" ref="P16">+SUMPRODUCT(IF($B$20:$B$75="Yes",1,0),$E$20:$E$75,P$20:P$75)/SUMPRODUCT($F$20:$F$75,$E$20:$E$75)</f>
        <v>0.90449585355319528</v>
      </c>
    </row>
    <row r="18" spans="2:24" x14ac:dyDescent="0.3">
      <c r="B18" s="110" t="s">
        <v>70</v>
      </c>
    </row>
    <row r="19" spans="2:24" x14ac:dyDescent="0.3">
      <c r="B19" s="110"/>
      <c r="C19" s="20" t="s">
        <v>52</v>
      </c>
      <c r="D19" s="21" t="s">
        <v>53</v>
      </c>
      <c r="E19" s="21" t="s">
        <v>54</v>
      </c>
      <c r="F19" s="109" t="s">
        <v>77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</row>
    <row r="20" spans="2:24" x14ac:dyDescent="0.3">
      <c r="B20" s="33" t="s">
        <v>71</v>
      </c>
      <c r="C20" s="10" t="s">
        <v>0</v>
      </c>
      <c r="D20" s="12">
        <v>2</v>
      </c>
      <c r="E20" s="11">
        <v>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W20" s="6"/>
      <c r="X20" s="27"/>
    </row>
    <row r="21" spans="2:24" x14ac:dyDescent="0.3">
      <c r="B21" s="33" t="s">
        <v>71</v>
      </c>
      <c r="C21" s="10" t="s">
        <v>1</v>
      </c>
      <c r="D21" s="12">
        <v>7</v>
      </c>
      <c r="E21" s="11">
        <v>4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S21" s="6"/>
      <c r="T21" s="27"/>
      <c r="W21" s="6"/>
      <c r="X21" s="27"/>
    </row>
    <row r="22" spans="2:24" x14ac:dyDescent="0.3">
      <c r="B22" s="33" t="s">
        <v>71</v>
      </c>
      <c r="C22" s="10" t="s">
        <v>2</v>
      </c>
      <c r="D22" s="12">
        <v>7</v>
      </c>
      <c r="E22" s="11">
        <v>4</v>
      </c>
      <c r="F22" s="25">
        <v>0</v>
      </c>
      <c r="G22" s="25">
        <v>0</v>
      </c>
      <c r="H22" s="25">
        <v>0</v>
      </c>
      <c r="I22" s="25">
        <v>2.7492551126852755E-3</v>
      </c>
      <c r="J22" s="25">
        <v>4.2916701617084184E-3</v>
      </c>
      <c r="K22" s="25">
        <v>8.7006667706415151E-3</v>
      </c>
      <c r="L22" s="25">
        <v>4.9772507104826171E-3</v>
      </c>
      <c r="M22" s="25">
        <v>1.1259955804523695E-2</v>
      </c>
      <c r="N22" s="25">
        <v>1.2443809313920189E-2</v>
      </c>
      <c r="O22" s="25">
        <v>1.2534458424532921E-2</v>
      </c>
      <c r="P22" s="25">
        <v>1.1566284474207503E-2</v>
      </c>
      <c r="S22" s="6"/>
      <c r="T22" s="27"/>
      <c r="W22" s="6"/>
      <c r="X22" s="27"/>
    </row>
    <row r="23" spans="2:24" x14ac:dyDescent="0.3">
      <c r="B23" s="33" t="s">
        <v>72</v>
      </c>
      <c r="C23" s="10" t="s">
        <v>3</v>
      </c>
      <c r="D23" s="12">
        <v>3</v>
      </c>
      <c r="E23" s="11">
        <v>2</v>
      </c>
      <c r="F23" s="25">
        <v>0</v>
      </c>
      <c r="G23" s="25">
        <v>0.29622379242411395</v>
      </c>
      <c r="H23" s="25">
        <v>0.69098551271796849</v>
      </c>
      <c r="I23" s="25">
        <v>0.84287400780638633</v>
      </c>
      <c r="J23" s="25">
        <v>0.9929481506334501</v>
      </c>
      <c r="K23" s="25">
        <v>1.2708954563680648</v>
      </c>
      <c r="L23" s="25">
        <v>0.8986050001068645</v>
      </c>
      <c r="M23" s="25">
        <v>0.90794501879444134</v>
      </c>
      <c r="N23" s="25">
        <v>0.80460968439873259</v>
      </c>
      <c r="O23" s="25">
        <v>0.66941019900542886</v>
      </c>
      <c r="P23" s="25">
        <v>0.54989415726075785</v>
      </c>
      <c r="S23" s="6"/>
      <c r="T23" s="27"/>
      <c r="W23" s="6"/>
      <c r="X23" s="27"/>
    </row>
    <row r="24" spans="2:24" x14ac:dyDescent="0.3">
      <c r="B24" s="33" t="s">
        <v>71</v>
      </c>
      <c r="C24" s="10" t="s">
        <v>4</v>
      </c>
      <c r="D24" s="12">
        <v>7</v>
      </c>
      <c r="E24" s="11">
        <v>5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S24" s="6"/>
      <c r="T24" s="27"/>
      <c r="W24" s="6"/>
      <c r="X24" s="27"/>
    </row>
    <row r="25" spans="2:24" x14ac:dyDescent="0.3">
      <c r="B25" s="33" t="s">
        <v>71</v>
      </c>
      <c r="C25" s="10" t="s">
        <v>5</v>
      </c>
      <c r="D25" s="12">
        <v>5</v>
      </c>
      <c r="E25" s="11">
        <v>4</v>
      </c>
      <c r="F25" s="25">
        <v>0</v>
      </c>
      <c r="G25" s="25">
        <v>5.9587308326141735E-3</v>
      </c>
      <c r="H25" s="25">
        <v>1.5899278195668588E-2</v>
      </c>
      <c r="I25" s="25">
        <v>8.3469834972642286E-3</v>
      </c>
      <c r="J25" s="25">
        <v>1.9203291438605215E-2</v>
      </c>
      <c r="K25" s="25">
        <v>1.1770757546912739E-2</v>
      </c>
      <c r="L25" s="25">
        <v>1.0306395845322688E-2</v>
      </c>
      <c r="M25" s="25">
        <v>1.5807970838609131E-2</v>
      </c>
      <c r="N25" s="25">
        <v>1.2057167523009987E-2</v>
      </c>
      <c r="O25" s="25">
        <v>1.4476814669247183E-2</v>
      </c>
      <c r="P25" s="25">
        <v>1.8447418447846697E-2</v>
      </c>
      <c r="S25" s="6"/>
      <c r="T25" s="27"/>
      <c r="W25" s="6"/>
      <c r="X25" s="27"/>
    </row>
    <row r="26" spans="2:24" x14ac:dyDescent="0.3">
      <c r="B26" s="33" t="s">
        <v>72</v>
      </c>
      <c r="C26" s="10" t="s">
        <v>6</v>
      </c>
      <c r="D26" s="12">
        <v>2</v>
      </c>
      <c r="E26" s="11">
        <v>2</v>
      </c>
      <c r="F26" s="25">
        <v>17.1552919541517</v>
      </c>
      <c r="G26" s="25">
        <v>15.984875701670177</v>
      </c>
      <c r="H26" s="25">
        <v>15.928816784188276</v>
      </c>
      <c r="I26" s="25">
        <v>13.967854774227412</v>
      </c>
      <c r="J26" s="25">
        <v>12.731274297141658</v>
      </c>
      <c r="K26" s="25">
        <v>9.7636441268457155</v>
      </c>
      <c r="L26" s="25">
        <v>8.7989545689274031</v>
      </c>
      <c r="M26" s="25">
        <v>7.132612665506266</v>
      </c>
      <c r="N26" s="25">
        <v>6.5968313310922024</v>
      </c>
      <c r="O26" s="25">
        <v>5.3179925333289173</v>
      </c>
      <c r="P26" s="25">
        <v>4.7182360838618473</v>
      </c>
      <c r="S26" s="6"/>
      <c r="T26" s="27"/>
      <c r="W26" s="6"/>
      <c r="X26" s="27"/>
    </row>
    <row r="27" spans="2:24" x14ac:dyDescent="0.3">
      <c r="B27" s="33" t="s">
        <v>71</v>
      </c>
      <c r="C27" s="10" t="s">
        <v>7</v>
      </c>
      <c r="D27" s="12">
        <v>2</v>
      </c>
      <c r="E27" s="11">
        <v>3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6.3054663599509588E-3</v>
      </c>
      <c r="L27" s="25">
        <v>2.9977986022628154E-3</v>
      </c>
      <c r="M27" s="25">
        <v>6.8813951509560968E-3</v>
      </c>
      <c r="N27" s="25">
        <v>2.3111975255108518E-2</v>
      </c>
      <c r="O27" s="25">
        <v>1.6088476546080872E-2</v>
      </c>
      <c r="P27" s="25">
        <v>9.6765719266001977E-3</v>
      </c>
      <c r="S27" s="6"/>
      <c r="T27" s="27"/>
      <c r="W27" s="6"/>
      <c r="X27" s="27"/>
    </row>
    <row r="28" spans="2:24" x14ac:dyDescent="0.3">
      <c r="B28" s="33" t="s">
        <v>72</v>
      </c>
      <c r="C28" s="10" t="s">
        <v>8</v>
      </c>
      <c r="D28" s="12">
        <v>6</v>
      </c>
      <c r="E28" s="11">
        <v>3</v>
      </c>
      <c r="F28" s="25">
        <v>0</v>
      </c>
      <c r="G28" s="25">
        <v>1.1540716949806568E-2</v>
      </c>
      <c r="H28" s="25">
        <v>3.4397914310350018E-2</v>
      </c>
      <c r="I28" s="25">
        <v>2.7407486891026005E-2</v>
      </c>
      <c r="J28" s="25">
        <v>4.1110255081994979E-2</v>
      </c>
      <c r="K28" s="25">
        <v>4.7793609271141686E-2</v>
      </c>
      <c r="L28" s="25">
        <v>3.7173967054872172E-2</v>
      </c>
      <c r="M28" s="25">
        <v>4.5376225252709713E-2</v>
      </c>
      <c r="N28" s="25">
        <v>9.4525462883232353E-2</v>
      </c>
      <c r="O28" s="25">
        <v>7.5790356222735042E-2</v>
      </c>
      <c r="P28" s="25">
        <v>6.0750488939231143E-2</v>
      </c>
      <c r="S28" s="6"/>
      <c r="T28" s="27"/>
      <c r="W28" s="6"/>
      <c r="X28" s="27"/>
    </row>
    <row r="29" spans="2:24" x14ac:dyDescent="0.3">
      <c r="B29" s="33" t="s">
        <v>71</v>
      </c>
      <c r="C29" s="8" t="s">
        <v>9</v>
      </c>
      <c r="D29" s="12">
        <v>7</v>
      </c>
      <c r="E29" s="11">
        <v>6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9.8431983924724808E-4</v>
      </c>
      <c r="L29" s="25">
        <v>1.0964861269302851E-3</v>
      </c>
      <c r="M29" s="25">
        <v>2.0579614299745331E-3</v>
      </c>
      <c r="N29" s="25">
        <v>2.2918540233258437E-3</v>
      </c>
      <c r="O29" s="25">
        <v>2.8550283849315544E-3</v>
      </c>
      <c r="P29" s="25">
        <v>3.3574876550789357E-3</v>
      </c>
      <c r="S29" s="6"/>
      <c r="T29" s="27"/>
      <c r="W29" s="6"/>
      <c r="X29" s="27"/>
    </row>
    <row r="30" spans="2:24" x14ac:dyDescent="0.3">
      <c r="B30" s="33" t="s">
        <v>72</v>
      </c>
      <c r="C30" s="10" t="s">
        <v>10</v>
      </c>
      <c r="D30" s="12">
        <v>3</v>
      </c>
      <c r="E30" s="11">
        <v>4</v>
      </c>
      <c r="F30" s="25">
        <v>0</v>
      </c>
      <c r="G30" s="25">
        <v>3.3218664813522279E-2</v>
      </c>
      <c r="H30" s="25">
        <v>7.8434815442464251E-2</v>
      </c>
      <c r="I30" s="25">
        <v>0.13545373801415547</v>
      </c>
      <c r="J30" s="25">
        <v>0.2306578944370426</v>
      </c>
      <c r="K30" s="25">
        <v>0.31290994113869958</v>
      </c>
      <c r="L30" s="25">
        <v>0.36400393297116646</v>
      </c>
      <c r="M30" s="25">
        <v>0.38356843061267509</v>
      </c>
      <c r="N30" s="25">
        <v>0.29865893381385145</v>
      </c>
      <c r="O30" s="25">
        <v>0.31916589987494259</v>
      </c>
      <c r="P30" s="25">
        <v>0.31841735727987197</v>
      </c>
      <c r="S30" s="6"/>
      <c r="T30" s="27"/>
      <c r="W30" s="6"/>
      <c r="X30" s="27"/>
    </row>
    <row r="31" spans="2:24" x14ac:dyDescent="0.3">
      <c r="B31" s="33" t="s">
        <v>72</v>
      </c>
      <c r="C31" s="10" t="s">
        <v>11</v>
      </c>
      <c r="D31" s="12">
        <v>4</v>
      </c>
      <c r="E31" s="11">
        <v>4</v>
      </c>
      <c r="F31" s="25">
        <v>0</v>
      </c>
      <c r="G31" s="25">
        <v>6.3851012066086094E-3</v>
      </c>
      <c r="H31" s="25">
        <v>1.3419491649162014E-2</v>
      </c>
      <c r="I31" s="25">
        <v>6.1768471393660242E-2</v>
      </c>
      <c r="J31" s="25">
        <v>5.7559829708666514E-2</v>
      </c>
      <c r="K31" s="25">
        <v>0.1988264110749636</v>
      </c>
      <c r="L31" s="25">
        <v>0.13859487765969117</v>
      </c>
      <c r="M31" s="25">
        <v>0.20444573377071351</v>
      </c>
      <c r="N31" s="25">
        <v>0.3977333605469604</v>
      </c>
      <c r="O31" s="25">
        <v>0.29264735631839989</v>
      </c>
      <c r="P31" s="25">
        <v>0.27551364499848763</v>
      </c>
      <c r="S31" s="6"/>
      <c r="T31" s="27"/>
      <c r="W31" s="6"/>
      <c r="X31" s="27"/>
    </row>
    <row r="32" spans="2:24" x14ac:dyDescent="0.3">
      <c r="B32" s="33" t="s">
        <v>71</v>
      </c>
      <c r="C32" s="10" t="s">
        <v>12</v>
      </c>
      <c r="D32" s="12">
        <v>2</v>
      </c>
      <c r="E32" s="11">
        <v>4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3.8521738731970498E-3</v>
      </c>
      <c r="L32" s="25">
        <v>2.0275116844608275E-3</v>
      </c>
      <c r="M32" s="25">
        <v>3.7252461677881807E-3</v>
      </c>
      <c r="N32" s="25">
        <v>7.9394106607572276E-3</v>
      </c>
      <c r="O32" s="25">
        <v>5.1281893103351586E-3</v>
      </c>
      <c r="P32" s="25">
        <v>4.9294974442373948E-3</v>
      </c>
      <c r="S32" s="7"/>
      <c r="T32" s="27"/>
      <c r="W32" s="7"/>
      <c r="X32" s="27"/>
    </row>
    <row r="33" spans="2:24" x14ac:dyDescent="0.3">
      <c r="B33" s="33" t="s">
        <v>71</v>
      </c>
      <c r="C33" s="10" t="s">
        <v>13</v>
      </c>
      <c r="D33" s="12">
        <v>6</v>
      </c>
      <c r="E33" s="11">
        <v>4</v>
      </c>
      <c r="F33" s="25">
        <v>0</v>
      </c>
      <c r="G33" s="25">
        <v>0</v>
      </c>
      <c r="H33" s="25">
        <v>0</v>
      </c>
      <c r="I33" s="25">
        <v>6.4056110603304545E-3</v>
      </c>
      <c r="J33" s="25">
        <v>7.4142532910767087E-3</v>
      </c>
      <c r="K33" s="25">
        <v>1.6975672115758574E-2</v>
      </c>
      <c r="L33" s="25">
        <v>1.1908593188493698E-2</v>
      </c>
      <c r="M33" s="25">
        <v>1.4755287098652106E-2</v>
      </c>
      <c r="N33" s="25">
        <v>2.8522240225321904E-2</v>
      </c>
      <c r="O33" s="25">
        <v>1.7368847640876095E-2</v>
      </c>
      <c r="P33" s="25">
        <v>1.5115566973191427E-2</v>
      </c>
      <c r="S33" s="6"/>
      <c r="T33" s="27"/>
      <c r="W33" s="8"/>
      <c r="X33" s="27"/>
    </row>
    <row r="34" spans="2:24" x14ac:dyDescent="0.3">
      <c r="B34" s="33" t="s">
        <v>71</v>
      </c>
      <c r="C34" s="10" t="s">
        <v>14</v>
      </c>
      <c r="D34" s="12">
        <v>5</v>
      </c>
      <c r="E34" s="11">
        <v>6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S34" s="6"/>
      <c r="T34" s="27"/>
      <c r="W34" s="8"/>
      <c r="X34" s="27"/>
    </row>
    <row r="35" spans="2:24" x14ac:dyDescent="0.3">
      <c r="B35" s="33" t="s">
        <v>72</v>
      </c>
      <c r="C35" s="10" t="s">
        <v>15</v>
      </c>
      <c r="D35" s="12">
        <v>2</v>
      </c>
      <c r="E35" s="11">
        <v>4</v>
      </c>
      <c r="F35" s="25">
        <v>0</v>
      </c>
      <c r="G35" s="25">
        <v>0.11821544391518023</v>
      </c>
      <c r="H35" s="25">
        <v>0.2525125610441622</v>
      </c>
      <c r="I35" s="25">
        <v>0.55656696522205462</v>
      </c>
      <c r="J35" s="25">
        <v>0.91452019371853832</v>
      </c>
      <c r="K35" s="25">
        <v>1.4716913316752465</v>
      </c>
      <c r="L35" s="25">
        <v>1.7198012193143946</v>
      </c>
      <c r="M35" s="25">
        <v>2.0349056483754948</v>
      </c>
      <c r="N35" s="25">
        <v>1.8147523545993502</v>
      </c>
      <c r="O35" s="25">
        <v>1.9978806404934946</v>
      </c>
      <c r="P35" s="25">
        <v>2.0147292587663546</v>
      </c>
      <c r="S35" s="6"/>
      <c r="T35" s="27"/>
      <c r="W35" s="6"/>
      <c r="X35" s="27"/>
    </row>
    <row r="36" spans="2:24" x14ac:dyDescent="0.3">
      <c r="B36" s="33" t="s">
        <v>72</v>
      </c>
      <c r="C36" s="10" t="s">
        <v>16</v>
      </c>
      <c r="D36" s="12">
        <v>6</v>
      </c>
      <c r="E36" s="11">
        <v>5</v>
      </c>
      <c r="F36" s="25">
        <v>0</v>
      </c>
      <c r="G36" s="25">
        <v>1.8765818779728366E-3</v>
      </c>
      <c r="H36" s="25">
        <v>2.7370799561626351E-3</v>
      </c>
      <c r="I36" s="25">
        <v>7.5254443886101302E-3</v>
      </c>
      <c r="J36" s="25">
        <v>7.2866969639462298E-3</v>
      </c>
      <c r="K36" s="25">
        <v>2.3484143328621941E-2</v>
      </c>
      <c r="L36" s="25">
        <v>1.7882678493434022E-2</v>
      </c>
      <c r="M36" s="25">
        <v>3.1551918191412814E-2</v>
      </c>
      <c r="N36" s="25">
        <v>6.4046472824024508E-2</v>
      </c>
      <c r="O36" s="25">
        <v>5.6005723982244016E-2</v>
      </c>
      <c r="P36" s="25">
        <v>6.2848906683630537E-2</v>
      </c>
      <c r="S36" s="6"/>
      <c r="T36" s="27"/>
      <c r="W36" s="6"/>
      <c r="X36" s="27"/>
    </row>
    <row r="37" spans="2:24" x14ac:dyDescent="0.3">
      <c r="B37" s="33" t="s">
        <v>71</v>
      </c>
      <c r="C37" s="10" t="s">
        <v>17</v>
      </c>
      <c r="D37" s="12">
        <v>2</v>
      </c>
      <c r="E37" s="11">
        <v>5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3.2345185235593552E-3</v>
      </c>
      <c r="L37" s="25">
        <v>1.2685703500137785E-3</v>
      </c>
      <c r="M37" s="25">
        <v>3.6775836332627282E-3</v>
      </c>
      <c r="N37" s="25">
        <v>1.2096568318572351E-2</v>
      </c>
      <c r="O37" s="25">
        <v>9.4832787162286818E-3</v>
      </c>
      <c r="P37" s="25">
        <v>1.1662237594593989E-2</v>
      </c>
      <c r="S37" s="6"/>
      <c r="T37" s="27"/>
      <c r="W37" s="6"/>
      <c r="X37" s="27"/>
    </row>
    <row r="38" spans="2:24" x14ac:dyDescent="0.3">
      <c r="B38" s="33" t="s">
        <v>71</v>
      </c>
      <c r="C38" s="10" t="s">
        <v>55</v>
      </c>
      <c r="D38" s="12">
        <v>7</v>
      </c>
      <c r="E38" s="11">
        <v>8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7.7032142859752967E-4</v>
      </c>
      <c r="M38" s="25">
        <v>2.2779536262296568E-4</v>
      </c>
      <c r="N38" s="25">
        <v>0</v>
      </c>
      <c r="O38" s="25">
        <v>0</v>
      </c>
      <c r="P38" s="25">
        <v>1.2702821944059455E-3</v>
      </c>
      <c r="S38" s="6"/>
      <c r="T38" s="27"/>
      <c r="W38" s="6"/>
      <c r="X38" s="27"/>
    </row>
    <row r="39" spans="2:24" x14ac:dyDescent="0.3">
      <c r="B39" s="33" t="s">
        <v>71</v>
      </c>
      <c r="C39" s="10" t="s">
        <v>18</v>
      </c>
      <c r="D39" s="12">
        <v>7</v>
      </c>
      <c r="E39" s="11">
        <v>8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S39" s="6"/>
      <c r="T39" s="27"/>
      <c r="W39" s="6"/>
      <c r="X39" s="27"/>
    </row>
    <row r="40" spans="2:24" x14ac:dyDescent="0.3">
      <c r="B40" s="33" t="s">
        <v>71</v>
      </c>
      <c r="C40" s="10" t="s">
        <v>19</v>
      </c>
      <c r="D40" s="12">
        <v>2</v>
      </c>
      <c r="E40" s="11">
        <v>5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1.1627367997535931E-3</v>
      </c>
      <c r="L40" s="25">
        <v>3.8931369862658331E-4</v>
      </c>
      <c r="M40" s="25">
        <v>1.6323793307838851E-3</v>
      </c>
      <c r="N40" s="25">
        <v>2.8524473078462426E-3</v>
      </c>
      <c r="O40" s="25">
        <v>1.3395527813170969E-3</v>
      </c>
      <c r="P40" s="25">
        <v>0</v>
      </c>
      <c r="S40" s="6"/>
      <c r="T40" s="27"/>
      <c r="W40" s="6"/>
      <c r="X40" s="27"/>
    </row>
    <row r="41" spans="2:24" x14ac:dyDescent="0.3">
      <c r="B41" s="33" t="s">
        <v>72</v>
      </c>
      <c r="C41" s="10" t="s">
        <v>20</v>
      </c>
      <c r="D41" s="12">
        <v>3</v>
      </c>
      <c r="E41" s="11">
        <v>6</v>
      </c>
      <c r="F41" s="25">
        <v>0</v>
      </c>
      <c r="G41" s="25">
        <v>9.4827275557248403E-4</v>
      </c>
      <c r="H41" s="25">
        <v>2.0004839327096985E-3</v>
      </c>
      <c r="I41" s="25">
        <v>6.5377415834953542E-3</v>
      </c>
      <c r="J41" s="25">
        <v>1.2619488792953772E-2</v>
      </c>
      <c r="K41" s="25">
        <v>1.8145742759839031E-2</v>
      </c>
      <c r="L41" s="25">
        <v>2.8634326951553712E-2</v>
      </c>
      <c r="M41" s="25">
        <v>3.1448217606899878E-2</v>
      </c>
      <c r="N41" s="25">
        <v>2.0623351640281104E-2</v>
      </c>
      <c r="O41" s="25">
        <v>2.9122501176466066E-2</v>
      </c>
      <c r="P41" s="25">
        <v>3.1611849332558964E-2</v>
      </c>
      <c r="S41" s="6"/>
      <c r="T41" s="27"/>
      <c r="W41" s="6"/>
      <c r="X41" s="27"/>
    </row>
    <row r="42" spans="2:24" x14ac:dyDescent="0.3">
      <c r="B42" s="33" t="s">
        <v>71</v>
      </c>
      <c r="C42" s="10" t="s">
        <v>21</v>
      </c>
      <c r="D42" s="12">
        <v>6</v>
      </c>
      <c r="E42" s="11">
        <v>6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S42" s="6"/>
      <c r="T42" s="27"/>
      <c r="W42" s="6"/>
      <c r="X42" s="27"/>
    </row>
    <row r="43" spans="2:24" x14ac:dyDescent="0.3">
      <c r="B43" s="33" t="s">
        <v>72</v>
      </c>
      <c r="C43" s="10" t="s">
        <v>22</v>
      </c>
      <c r="D43" s="12">
        <v>4</v>
      </c>
      <c r="E43" s="11">
        <v>6</v>
      </c>
      <c r="F43" s="25">
        <v>0</v>
      </c>
      <c r="G43" s="25">
        <v>8.7541860076498505E-4</v>
      </c>
      <c r="H43" s="25">
        <v>3.1042475802361708E-3</v>
      </c>
      <c r="I43" s="25">
        <v>1.5213600327655074E-2</v>
      </c>
      <c r="J43" s="25">
        <v>1.4622646197566308E-2</v>
      </c>
      <c r="K43" s="25">
        <v>6.0238414419123622E-2</v>
      </c>
      <c r="L43" s="25">
        <v>5.1056706680464185E-2</v>
      </c>
      <c r="M43" s="25">
        <v>8.2501205756104729E-2</v>
      </c>
      <c r="N43" s="25">
        <v>0.15067945050974973</v>
      </c>
      <c r="O43" s="25">
        <v>0.14200747245491782</v>
      </c>
      <c r="P43" s="25">
        <v>0.15822990581601504</v>
      </c>
      <c r="S43" s="6"/>
      <c r="T43" s="27"/>
      <c r="W43" s="6"/>
      <c r="X43" s="27"/>
    </row>
    <row r="44" spans="2:24" x14ac:dyDescent="0.3">
      <c r="B44" s="33" t="s">
        <v>71</v>
      </c>
      <c r="C44" s="10" t="s">
        <v>23</v>
      </c>
      <c r="D44" s="12">
        <v>6</v>
      </c>
      <c r="E44" s="11">
        <v>6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S44" s="8"/>
      <c r="T44" s="27"/>
      <c r="W44" s="6"/>
      <c r="X44" s="27"/>
    </row>
    <row r="45" spans="2:24" x14ac:dyDescent="0.3">
      <c r="B45" s="33" t="s">
        <v>72</v>
      </c>
      <c r="C45" s="10" t="s">
        <v>24</v>
      </c>
      <c r="D45" s="12">
        <v>4</v>
      </c>
      <c r="E45" s="11">
        <v>6</v>
      </c>
      <c r="F45" s="25">
        <v>0</v>
      </c>
      <c r="G45" s="25">
        <v>0</v>
      </c>
      <c r="H45" s="25">
        <v>0</v>
      </c>
      <c r="I45" s="25">
        <v>4.3909278494055669E-3</v>
      </c>
      <c r="J45" s="25">
        <v>0</v>
      </c>
      <c r="K45" s="25">
        <v>2.9619474576383146E-2</v>
      </c>
      <c r="L45" s="25">
        <v>2.2652243344749624E-2</v>
      </c>
      <c r="M45" s="25">
        <v>5.5210744088414684E-2</v>
      </c>
      <c r="N45" s="25">
        <v>0.11282363148292074</v>
      </c>
      <c r="O45" s="25">
        <v>0.11543216107810562</v>
      </c>
      <c r="P45" s="25">
        <v>0.12393475412069138</v>
      </c>
      <c r="S45" s="6"/>
      <c r="T45" s="27"/>
      <c r="W45" s="6"/>
      <c r="X45" s="27"/>
    </row>
    <row r="46" spans="2:24" x14ac:dyDescent="0.3">
      <c r="B46" s="33" t="s">
        <v>72</v>
      </c>
      <c r="C46" s="10" t="s">
        <v>25</v>
      </c>
      <c r="D46" s="12">
        <v>3</v>
      </c>
      <c r="E46" s="11">
        <v>6</v>
      </c>
      <c r="F46" s="25">
        <v>0</v>
      </c>
      <c r="G46" s="25">
        <v>1.6067592034979933E-3</v>
      </c>
      <c r="H46" s="25">
        <v>4.8169533786236738E-3</v>
      </c>
      <c r="I46" s="25">
        <v>1.2829670286216673E-2</v>
      </c>
      <c r="J46" s="25">
        <v>2.8069201901069214E-2</v>
      </c>
      <c r="K46" s="25">
        <v>4.1665860638047392E-2</v>
      </c>
      <c r="L46" s="25">
        <v>6.1446507386877638E-2</v>
      </c>
      <c r="M46" s="25">
        <v>6.9571605436693856E-2</v>
      </c>
      <c r="N46" s="25">
        <v>4.0772252532247553E-2</v>
      </c>
      <c r="O46" s="25">
        <v>5.75389185520679E-2</v>
      </c>
      <c r="P46" s="25">
        <v>6.0852920581294385E-2</v>
      </c>
      <c r="S46" s="6"/>
      <c r="T46" s="27"/>
      <c r="W46" s="6"/>
      <c r="X46" s="27"/>
    </row>
    <row r="47" spans="2:24" x14ac:dyDescent="0.3">
      <c r="B47" s="33" t="s">
        <v>71</v>
      </c>
      <c r="C47" s="10" t="s">
        <v>56</v>
      </c>
      <c r="D47" s="12">
        <v>5</v>
      </c>
      <c r="E47" s="11">
        <v>8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S47" s="6"/>
      <c r="T47" s="27"/>
      <c r="W47" s="6"/>
      <c r="X47" s="27"/>
    </row>
    <row r="48" spans="2:24" x14ac:dyDescent="0.3">
      <c r="B48" s="33" t="s">
        <v>72</v>
      </c>
      <c r="C48" s="10" t="s">
        <v>26</v>
      </c>
      <c r="D48" s="12">
        <v>2</v>
      </c>
      <c r="E48" s="11">
        <v>6</v>
      </c>
      <c r="F48" s="25">
        <v>0</v>
      </c>
      <c r="G48" s="25">
        <v>1.1261846167136167E-3</v>
      </c>
      <c r="H48" s="25">
        <v>2.3976404726038258E-3</v>
      </c>
      <c r="I48" s="25">
        <v>1.4253876486323985E-2</v>
      </c>
      <c r="J48" s="25">
        <v>1.7623905957750464E-2</v>
      </c>
      <c r="K48" s="25">
        <v>5.4831070736124379E-2</v>
      </c>
      <c r="L48" s="25">
        <v>6.8403668788034194E-2</v>
      </c>
      <c r="M48" s="25">
        <v>9.8963925064155855E-2</v>
      </c>
      <c r="N48" s="25">
        <v>9.1713006682699882E-2</v>
      </c>
      <c r="O48" s="25">
        <v>0.13306487248168883</v>
      </c>
      <c r="P48" s="25">
        <v>0.14873664951589718</v>
      </c>
      <c r="S48" s="6"/>
      <c r="T48" s="27"/>
      <c r="W48" s="6"/>
      <c r="X48" s="27"/>
    </row>
    <row r="49" spans="2:24" x14ac:dyDescent="0.3">
      <c r="B49" s="33" t="s">
        <v>71</v>
      </c>
      <c r="C49" s="10" t="s">
        <v>27</v>
      </c>
      <c r="D49" s="12">
        <v>2</v>
      </c>
      <c r="E49" s="11">
        <v>6</v>
      </c>
      <c r="F49" s="25">
        <v>0</v>
      </c>
      <c r="G49" s="25">
        <v>7.0694683159550011E-4</v>
      </c>
      <c r="H49" s="25">
        <v>0</v>
      </c>
      <c r="I49" s="25">
        <v>0</v>
      </c>
      <c r="J49" s="25">
        <v>9.0713465584617433E-4</v>
      </c>
      <c r="K49" s="25">
        <v>0</v>
      </c>
      <c r="L49" s="25">
        <v>2.1677346887181482E-3</v>
      </c>
      <c r="M49" s="25">
        <v>1.6589369684769986E-3</v>
      </c>
      <c r="N49" s="25">
        <v>0</v>
      </c>
      <c r="O49" s="25">
        <v>0</v>
      </c>
      <c r="P49" s="25">
        <v>0</v>
      </c>
      <c r="S49" s="6"/>
      <c r="T49" s="27"/>
      <c r="W49" s="6"/>
      <c r="X49" s="27"/>
    </row>
    <row r="50" spans="2:24" x14ac:dyDescent="0.3">
      <c r="B50" s="33" t="s">
        <v>71</v>
      </c>
      <c r="C50" s="10" t="s">
        <v>28</v>
      </c>
      <c r="D50" s="12">
        <v>11</v>
      </c>
      <c r="E50" s="11">
        <v>8</v>
      </c>
      <c r="F50" s="25">
        <v>0</v>
      </c>
      <c r="G50" s="25">
        <v>0</v>
      </c>
      <c r="H50" s="25">
        <v>2.9848839008226447E-4</v>
      </c>
      <c r="I50" s="25">
        <v>1.6593543255785218E-2</v>
      </c>
      <c r="J50" s="25">
        <v>6.0235787684650511E-3</v>
      </c>
      <c r="K50" s="25">
        <v>6.1052084529339863E-3</v>
      </c>
      <c r="L50" s="25">
        <v>5.2942987188205259E-3</v>
      </c>
      <c r="M50" s="25">
        <v>2.9693465922997434E-3</v>
      </c>
      <c r="N50" s="25">
        <v>3.8662307755102663E-3</v>
      </c>
      <c r="O50" s="25">
        <v>4.9881412561723435E-3</v>
      </c>
      <c r="P50" s="25">
        <v>1.9147381574823549E-3</v>
      </c>
      <c r="S50" s="6"/>
      <c r="T50" s="27"/>
      <c r="W50" s="6"/>
      <c r="X50" s="27"/>
    </row>
    <row r="51" spans="2:24" x14ac:dyDescent="0.3">
      <c r="B51" s="33" t="s">
        <v>72</v>
      </c>
      <c r="C51" s="10" t="s">
        <v>29</v>
      </c>
      <c r="D51" s="12">
        <v>2</v>
      </c>
      <c r="E51" s="11">
        <v>6</v>
      </c>
      <c r="F51" s="25">
        <v>0</v>
      </c>
      <c r="G51" s="25">
        <v>6.8882016135071011E-3</v>
      </c>
      <c r="H51" s="25">
        <v>1.6726604971810322E-2</v>
      </c>
      <c r="I51" s="25">
        <v>4.6044354742731324E-2</v>
      </c>
      <c r="J51" s="25">
        <v>0.10287882397917804</v>
      </c>
      <c r="K51" s="25">
        <v>0.20981017559398568</v>
      </c>
      <c r="L51" s="25">
        <v>0.28988616449350174</v>
      </c>
      <c r="M51" s="25">
        <v>0.37132876984107854</v>
      </c>
      <c r="N51" s="25">
        <v>0.29179056046716861</v>
      </c>
      <c r="O51" s="25">
        <v>0.40180950211483007</v>
      </c>
      <c r="P51" s="25">
        <v>0.43266270464998935</v>
      </c>
      <c r="R51" s="3"/>
      <c r="S51" s="6"/>
      <c r="T51" s="27"/>
      <c r="W51" s="8"/>
      <c r="X51" s="27"/>
    </row>
    <row r="52" spans="2:24" x14ac:dyDescent="0.3">
      <c r="B52" s="33" t="s">
        <v>72</v>
      </c>
      <c r="C52" s="10" t="s">
        <v>30</v>
      </c>
      <c r="D52" s="12">
        <v>6</v>
      </c>
      <c r="E52" s="11">
        <v>7</v>
      </c>
      <c r="F52" s="25">
        <v>0</v>
      </c>
      <c r="G52" s="25">
        <v>0</v>
      </c>
      <c r="H52" s="25">
        <v>0</v>
      </c>
      <c r="I52" s="25">
        <v>8.8349773781010968E-4</v>
      </c>
      <c r="J52" s="25">
        <v>0</v>
      </c>
      <c r="K52" s="25">
        <v>6.4632669552303719E-3</v>
      </c>
      <c r="L52" s="25">
        <v>1.4053013176795611E-3</v>
      </c>
      <c r="M52" s="25">
        <v>9.8908148536717561E-3</v>
      </c>
      <c r="N52" s="25">
        <v>1.5601777658857032E-2</v>
      </c>
      <c r="O52" s="25">
        <v>1.7236902195099876E-2</v>
      </c>
      <c r="P52" s="25">
        <v>1.7794844482032526E-2</v>
      </c>
      <c r="S52" s="6"/>
      <c r="T52" s="27"/>
      <c r="W52" s="6"/>
      <c r="X52" s="27"/>
    </row>
    <row r="53" spans="2:24" x14ac:dyDescent="0.3">
      <c r="B53" s="33" t="s">
        <v>71</v>
      </c>
      <c r="C53" s="10" t="s">
        <v>31</v>
      </c>
      <c r="D53" s="12">
        <v>2</v>
      </c>
      <c r="E53" s="11">
        <v>7</v>
      </c>
      <c r="F53" s="25">
        <v>0</v>
      </c>
      <c r="G53" s="25">
        <v>0</v>
      </c>
      <c r="H53" s="25">
        <v>0</v>
      </c>
      <c r="I53" s="25">
        <v>5.8077504476401233E-4</v>
      </c>
      <c r="J53" s="25">
        <v>2.4529057163219206E-3</v>
      </c>
      <c r="K53" s="25">
        <v>1.161698569446134E-3</v>
      </c>
      <c r="L53" s="25">
        <v>2.0493494668660413E-3</v>
      </c>
      <c r="M53" s="25">
        <v>2.2901552513924831E-3</v>
      </c>
      <c r="N53" s="25">
        <v>0</v>
      </c>
      <c r="O53" s="25">
        <v>1.9942307756521636E-3</v>
      </c>
      <c r="P53" s="25">
        <v>2.2184756350938648E-3</v>
      </c>
      <c r="S53" s="6"/>
      <c r="T53" s="27"/>
      <c r="W53" s="6"/>
      <c r="X53" s="27"/>
    </row>
    <row r="54" spans="2:24" x14ac:dyDescent="0.3">
      <c r="B54" s="33" t="s">
        <v>71</v>
      </c>
      <c r="C54" s="10" t="s">
        <v>57</v>
      </c>
      <c r="D54" s="12">
        <v>2</v>
      </c>
      <c r="E54" s="11">
        <v>7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1.6075676094243247E-3</v>
      </c>
      <c r="O54" s="25">
        <v>0</v>
      </c>
      <c r="P54" s="25">
        <v>0</v>
      </c>
      <c r="S54" s="6"/>
      <c r="T54" s="27"/>
      <c r="W54" s="6"/>
      <c r="X54" s="27"/>
    </row>
    <row r="55" spans="2:24" x14ac:dyDescent="0.3">
      <c r="B55" s="33" t="s">
        <v>72</v>
      </c>
      <c r="C55" s="10" t="s">
        <v>32</v>
      </c>
      <c r="D55" s="12">
        <v>6</v>
      </c>
      <c r="E55" s="11">
        <v>7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4.1702358186158812E-3</v>
      </c>
      <c r="L55" s="25">
        <v>3.1466310193487626E-3</v>
      </c>
      <c r="M55" s="25">
        <v>7.1554586892984186E-3</v>
      </c>
      <c r="N55" s="25">
        <v>1.3465600565336119E-2</v>
      </c>
      <c r="O55" s="25">
        <v>1.4513860613135223E-2</v>
      </c>
      <c r="P55" s="25">
        <v>1.7160514939166611E-2</v>
      </c>
      <c r="S55" s="6"/>
      <c r="T55" s="27"/>
      <c r="W55" s="6"/>
      <c r="X55" s="27"/>
    </row>
    <row r="56" spans="2:24" x14ac:dyDescent="0.3">
      <c r="B56" s="33" t="s">
        <v>72</v>
      </c>
      <c r="C56" s="6" t="s">
        <v>58</v>
      </c>
      <c r="D56" s="13">
        <v>3</v>
      </c>
      <c r="E56" s="9">
        <v>8</v>
      </c>
      <c r="F56" s="25">
        <v>0</v>
      </c>
      <c r="G56" s="25">
        <v>0</v>
      </c>
      <c r="H56" s="25">
        <v>0</v>
      </c>
      <c r="I56" s="25">
        <v>1.2756363276101342E-3</v>
      </c>
      <c r="J56" s="25">
        <v>2.376026344351966E-3</v>
      </c>
      <c r="K56" s="25">
        <v>4.4422762000683128E-3</v>
      </c>
      <c r="L56" s="25">
        <v>7.9197655734671545E-3</v>
      </c>
      <c r="M56" s="25">
        <v>9.8673421216301637E-3</v>
      </c>
      <c r="N56" s="25">
        <v>5.85284789202308E-3</v>
      </c>
      <c r="O56" s="25">
        <v>1.0074606987640228E-2</v>
      </c>
      <c r="P56" s="25">
        <v>1.1425800044675997E-2</v>
      </c>
      <c r="S56" s="6"/>
      <c r="T56" s="27"/>
      <c r="W56" s="6"/>
      <c r="X56" s="27"/>
    </row>
    <row r="57" spans="2:24" x14ac:dyDescent="0.3">
      <c r="B57" s="33" t="s">
        <v>72</v>
      </c>
      <c r="C57" s="10" t="s">
        <v>33</v>
      </c>
      <c r="D57" s="12">
        <v>4</v>
      </c>
      <c r="E57" s="11">
        <v>8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7.6524205032580642E-4</v>
      </c>
      <c r="L57" s="25">
        <v>5.2298941784867891E-4</v>
      </c>
      <c r="M57" s="25">
        <v>2.2536623791605311E-3</v>
      </c>
      <c r="N57" s="25">
        <v>4.5704305849694803E-3</v>
      </c>
      <c r="O57" s="25">
        <v>6.1334489474214439E-3</v>
      </c>
      <c r="P57" s="25">
        <v>7.5253573624754592E-3</v>
      </c>
      <c r="S57" s="6"/>
      <c r="T57" s="27"/>
      <c r="W57" s="6"/>
      <c r="X57" s="27"/>
    </row>
    <row r="58" spans="2:24" x14ac:dyDescent="0.3">
      <c r="B58" s="33" t="s">
        <v>72</v>
      </c>
      <c r="C58" s="10" t="s">
        <v>34</v>
      </c>
      <c r="D58" s="12">
        <v>4</v>
      </c>
      <c r="E58" s="11">
        <v>8</v>
      </c>
      <c r="F58" s="25">
        <v>0</v>
      </c>
      <c r="G58" s="25">
        <v>0</v>
      </c>
      <c r="H58" s="25">
        <v>0</v>
      </c>
      <c r="I58" s="25">
        <v>1.1579324353034178E-3</v>
      </c>
      <c r="J58" s="25">
        <v>3.3108191574064352E-4</v>
      </c>
      <c r="K58" s="25">
        <v>9.3022596882075016E-3</v>
      </c>
      <c r="L58" s="25">
        <v>8.14063151005813E-3</v>
      </c>
      <c r="M58" s="25">
        <v>2.0870279200214618E-2</v>
      </c>
      <c r="N58" s="25">
        <v>3.9602207333175828E-2</v>
      </c>
      <c r="O58" s="25">
        <v>5.2185174203653262E-2</v>
      </c>
      <c r="P58" s="25">
        <v>6.6618124630901013E-2</v>
      </c>
      <c r="S58" s="6"/>
      <c r="T58" s="27"/>
      <c r="W58" s="6"/>
      <c r="X58" s="27"/>
    </row>
    <row r="59" spans="2:24" x14ac:dyDescent="0.3">
      <c r="B59" s="33" t="s">
        <v>72</v>
      </c>
      <c r="C59" s="10" t="s">
        <v>35</v>
      </c>
      <c r="D59" s="12">
        <v>4</v>
      </c>
      <c r="E59" s="11">
        <v>8</v>
      </c>
      <c r="F59" s="25">
        <v>0</v>
      </c>
      <c r="G59" s="25">
        <v>0</v>
      </c>
      <c r="H59" s="25">
        <v>0</v>
      </c>
      <c r="I59" s="25">
        <v>2.3385353521045158E-3</v>
      </c>
      <c r="J59" s="25">
        <v>2.1289642631644465E-3</v>
      </c>
      <c r="K59" s="25">
        <v>1.2309960803353436E-2</v>
      </c>
      <c r="L59" s="25">
        <v>1.1069810811798895E-2</v>
      </c>
      <c r="M59" s="25">
        <v>2.0297633353985756E-2</v>
      </c>
      <c r="N59" s="25">
        <v>3.5545468453234655E-2</v>
      </c>
      <c r="O59" s="25">
        <v>4.061247035123787E-2</v>
      </c>
      <c r="P59" s="25">
        <v>4.8433966192922076E-2</v>
      </c>
      <c r="S59" s="6"/>
      <c r="T59" s="27"/>
      <c r="W59" s="6"/>
      <c r="X59" s="27"/>
    </row>
    <row r="60" spans="2:24" x14ac:dyDescent="0.3">
      <c r="B60" s="33" t="s">
        <v>71</v>
      </c>
      <c r="C60" s="10" t="s">
        <v>36</v>
      </c>
      <c r="D60" s="12">
        <v>6</v>
      </c>
      <c r="E60" s="11">
        <v>8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4.9835566812659574E-4</v>
      </c>
      <c r="L60" s="25">
        <v>1.2325961255229853E-3</v>
      </c>
      <c r="M60" s="25">
        <v>1.6055728787449436E-3</v>
      </c>
      <c r="N60" s="25">
        <v>1.0649951181937892E-3</v>
      </c>
      <c r="O60" s="25">
        <v>4.9895735995836516E-4</v>
      </c>
      <c r="P60" s="25">
        <v>4.8799347491027808E-4</v>
      </c>
      <c r="S60" s="6"/>
      <c r="T60" s="27"/>
      <c r="W60" s="6"/>
      <c r="X60" s="27"/>
    </row>
    <row r="61" spans="2:24" x14ac:dyDescent="0.3">
      <c r="B61" s="33" t="s">
        <v>72</v>
      </c>
      <c r="C61" s="10" t="s">
        <v>37</v>
      </c>
      <c r="D61" s="12">
        <v>4</v>
      </c>
      <c r="E61" s="11">
        <v>8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4.6051279716575189E-3</v>
      </c>
      <c r="L61" s="25">
        <v>4.2089608902463995E-3</v>
      </c>
      <c r="M61" s="25">
        <v>1.0192268122447218E-2</v>
      </c>
      <c r="N61" s="25">
        <v>1.7718516835553456E-2</v>
      </c>
      <c r="O61" s="25">
        <v>2.2524147756460514E-2</v>
      </c>
      <c r="P61" s="25">
        <v>2.5499408886326739E-2</v>
      </c>
      <c r="S61" s="6"/>
      <c r="T61" s="27"/>
      <c r="W61" s="6"/>
      <c r="X61" s="27"/>
    </row>
    <row r="62" spans="2:24" x14ac:dyDescent="0.3">
      <c r="B62" s="33" t="s">
        <v>72</v>
      </c>
      <c r="C62" s="10" t="s">
        <v>38</v>
      </c>
      <c r="D62" s="12">
        <v>3</v>
      </c>
      <c r="E62" s="11">
        <v>8</v>
      </c>
      <c r="F62" s="25">
        <v>0</v>
      </c>
      <c r="G62" s="25">
        <v>0</v>
      </c>
      <c r="H62" s="25">
        <v>0</v>
      </c>
      <c r="I62" s="25">
        <v>1.6825054284583644E-3</v>
      </c>
      <c r="J62" s="25">
        <v>2.8694740400855017E-3</v>
      </c>
      <c r="K62" s="25">
        <v>7.2486722011168092E-3</v>
      </c>
      <c r="L62" s="25">
        <v>1.1224330764009036E-2</v>
      </c>
      <c r="M62" s="25">
        <v>1.4534821490902759E-2</v>
      </c>
      <c r="N62" s="25">
        <v>9.0141134806256129E-3</v>
      </c>
      <c r="O62" s="25">
        <v>1.4068125703068594E-2</v>
      </c>
      <c r="P62" s="25">
        <v>1.5864108204744369E-2</v>
      </c>
      <c r="S62" s="6"/>
      <c r="T62" s="27"/>
      <c r="W62" s="6"/>
      <c r="X62" s="27"/>
    </row>
    <row r="63" spans="2:24" x14ac:dyDescent="0.3">
      <c r="B63" s="33" t="s">
        <v>72</v>
      </c>
      <c r="C63" s="10" t="s">
        <v>208</v>
      </c>
      <c r="D63" s="12">
        <v>2</v>
      </c>
      <c r="E63" s="11">
        <v>8</v>
      </c>
      <c r="F63" s="25">
        <v>0</v>
      </c>
      <c r="G63" s="25">
        <v>0</v>
      </c>
      <c r="H63" s="25">
        <v>0</v>
      </c>
      <c r="I63" s="25">
        <v>2.7375518702984201E-3</v>
      </c>
      <c r="J63" s="25">
        <v>2.9079011104261965E-3</v>
      </c>
      <c r="K63" s="25">
        <v>1.2397467214648622E-2</v>
      </c>
      <c r="L63" s="25">
        <v>1.715461122248323E-2</v>
      </c>
      <c r="M63" s="25">
        <v>2.6534231900517419E-2</v>
      </c>
      <c r="N63" s="25">
        <v>2.3583796413665484E-2</v>
      </c>
      <c r="O63" s="25">
        <v>4.1349749154441659E-2</v>
      </c>
      <c r="P63" s="25">
        <v>5.0728190581537366E-2</v>
      </c>
      <c r="W63" s="6"/>
      <c r="X63" s="27"/>
    </row>
    <row r="64" spans="2:24" x14ac:dyDescent="0.3">
      <c r="B64" s="33" t="s">
        <v>72</v>
      </c>
      <c r="C64" s="10" t="s">
        <v>39</v>
      </c>
      <c r="D64" s="12">
        <v>2</v>
      </c>
      <c r="E64" s="11">
        <v>8</v>
      </c>
      <c r="F64" s="25">
        <v>0</v>
      </c>
      <c r="G64" s="25">
        <v>0</v>
      </c>
      <c r="H64" s="25">
        <v>3.4893093966762627E-4</v>
      </c>
      <c r="I64" s="25">
        <v>7.3938830739049988E-3</v>
      </c>
      <c r="J64" s="25">
        <v>1.129645994509126E-2</v>
      </c>
      <c r="K64" s="25">
        <v>3.1770980745518165E-2</v>
      </c>
      <c r="L64" s="25">
        <v>4.718009679523906E-2</v>
      </c>
      <c r="M64" s="25">
        <v>6.3751899623983935E-2</v>
      </c>
      <c r="N64" s="25">
        <v>4.6573358126778909E-2</v>
      </c>
      <c r="O64" s="25">
        <v>7.4609867612309866E-2</v>
      </c>
      <c r="P64" s="25">
        <v>8.5815692638085583E-2</v>
      </c>
      <c r="W64" s="6"/>
      <c r="X64" s="27"/>
    </row>
    <row r="65" spans="2:24" x14ac:dyDescent="0.3">
      <c r="B65" s="33" t="s">
        <v>72</v>
      </c>
      <c r="C65" s="10" t="s">
        <v>40</v>
      </c>
      <c r="D65" s="12">
        <v>6</v>
      </c>
      <c r="E65" s="11">
        <v>9</v>
      </c>
      <c r="F65" s="25">
        <v>0</v>
      </c>
      <c r="G65" s="25">
        <v>0</v>
      </c>
      <c r="H65" s="25">
        <v>0</v>
      </c>
      <c r="I65" s="25">
        <v>4.0028174181791916E-4</v>
      </c>
      <c r="J65" s="25">
        <v>8.4888960148484557E-4</v>
      </c>
      <c r="K65" s="25">
        <v>3.2554801514584654E-3</v>
      </c>
      <c r="L65" s="25">
        <v>3.3093374664231192E-3</v>
      </c>
      <c r="M65" s="25">
        <v>5.721609725051131E-3</v>
      </c>
      <c r="N65" s="25">
        <v>7.9556245132124427E-3</v>
      </c>
      <c r="O65" s="25">
        <v>1.0265879398720684E-2</v>
      </c>
      <c r="P65" s="25">
        <v>1.2480013571958177E-2</v>
      </c>
      <c r="W65" s="6"/>
      <c r="X65" s="27"/>
    </row>
    <row r="66" spans="2:24" x14ac:dyDescent="0.3">
      <c r="B66" s="33" t="s">
        <v>71</v>
      </c>
      <c r="C66" s="11" t="s">
        <v>41</v>
      </c>
      <c r="D66" s="12">
        <v>6</v>
      </c>
      <c r="E66" s="11">
        <v>9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6.8382283917522285E-4</v>
      </c>
      <c r="L66" s="25">
        <v>7.1037894013042014E-4</v>
      </c>
      <c r="M66" s="25">
        <v>1.8498757262413075E-3</v>
      </c>
      <c r="N66" s="25">
        <v>3.1127179257668851E-3</v>
      </c>
      <c r="O66" s="25">
        <v>3.8298942877527937E-3</v>
      </c>
      <c r="P66" s="25">
        <v>4.7839406151043455E-3</v>
      </c>
      <c r="W66" s="6"/>
      <c r="X66" s="27"/>
    </row>
    <row r="67" spans="2:24" x14ac:dyDescent="0.3">
      <c r="B67" s="33" t="s">
        <v>72</v>
      </c>
      <c r="C67" s="10" t="s">
        <v>42</v>
      </c>
      <c r="D67" s="12">
        <v>4</v>
      </c>
      <c r="E67" s="11">
        <v>10</v>
      </c>
      <c r="F67" s="25">
        <v>0</v>
      </c>
      <c r="G67" s="25">
        <v>0</v>
      </c>
      <c r="H67" s="25">
        <v>0</v>
      </c>
      <c r="I67" s="25">
        <v>0</v>
      </c>
      <c r="J67" s="25">
        <v>1.8908810153073026E-4</v>
      </c>
      <c r="K67" s="25">
        <v>3.5904729746949831E-3</v>
      </c>
      <c r="L67" s="25">
        <v>3.8203737235537193E-3</v>
      </c>
      <c r="M67" s="25">
        <v>1.4748468237433265E-2</v>
      </c>
      <c r="N67" s="25">
        <v>2.3387347554691205E-2</v>
      </c>
      <c r="O67" s="25">
        <v>3.7155952561260169E-2</v>
      </c>
      <c r="P67" s="25">
        <v>4.92597939226464E-2</v>
      </c>
      <c r="W67" s="6"/>
      <c r="X67" s="27"/>
    </row>
    <row r="68" spans="2:24" x14ac:dyDescent="0.3">
      <c r="B68" s="33" t="s">
        <v>71</v>
      </c>
      <c r="C68" s="10" t="s">
        <v>43</v>
      </c>
      <c r="D68" s="12">
        <v>4</v>
      </c>
      <c r="E68" s="11">
        <v>10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7.3239041309611013E-4</v>
      </c>
      <c r="L68" s="25">
        <v>1.0002090082860372E-3</v>
      </c>
      <c r="M68" s="25">
        <v>2.4445126009191281E-3</v>
      </c>
      <c r="N68" s="25">
        <v>3.9844053240665304E-3</v>
      </c>
      <c r="O68" s="25">
        <v>5.0657284604761297E-3</v>
      </c>
      <c r="P68" s="25">
        <v>6.9334778672312004E-3</v>
      </c>
      <c r="W68" s="9"/>
      <c r="X68" s="27"/>
    </row>
    <row r="69" spans="2:24" x14ac:dyDescent="0.3">
      <c r="B69" s="33" t="s">
        <v>72</v>
      </c>
      <c r="C69" s="10" t="s">
        <v>44</v>
      </c>
      <c r="D69" s="12">
        <v>2</v>
      </c>
      <c r="E69" s="11">
        <v>12</v>
      </c>
      <c r="F69" s="25">
        <v>0</v>
      </c>
      <c r="G69" s="25">
        <v>0</v>
      </c>
      <c r="H69" s="25">
        <v>0</v>
      </c>
      <c r="I69" s="25">
        <v>0</v>
      </c>
      <c r="J69" s="25">
        <v>2.6813607488477588E-4</v>
      </c>
      <c r="K69" s="25">
        <v>4.9083676160177842E-4</v>
      </c>
      <c r="L69" s="25">
        <v>1.1845622470933411E-3</v>
      </c>
      <c r="M69" s="25">
        <v>1.5097573496437235E-3</v>
      </c>
      <c r="N69" s="25">
        <v>1.0634872141462035E-3</v>
      </c>
      <c r="O69" s="25">
        <v>2.272127727975499E-3</v>
      </c>
      <c r="P69" s="25">
        <v>2.8336440790639123E-3</v>
      </c>
      <c r="W69" s="6"/>
      <c r="X69" s="27"/>
    </row>
    <row r="70" spans="2:24" x14ac:dyDescent="0.3">
      <c r="B70" s="33" t="s">
        <v>71</v>
      </c>
      <c r="C70" s="10" t="s">
        <v>45</v>
      </c>
      <c r="D70" s="12">
        <v>2</v>
      </c>
      <c r="E70" s="11">
        <v>10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W70" s="6"/>
      <c r="X70" s="27"/>
    </row>
    <row r="71" spans="2:24" x14ac:dyDescent="0.3">
      <c r="B71" s="33" t="s">
        <v>72</v>
      </c>
      <c r="C71" s="10" t="s">
        <v>46</v>
      </c>
      <c r="D71" s="12">
        <v>2</v>
      </c>
      <c r="E71" s="11">
        <v>10</v>
      </c>
      <c r="F71" s="25">
        <v>0</v>
      </c>
      <c r="G71" s="25">
        <v>0</v>
      </c>
      <c r="H71" s="25">
        <v>0</v>
      </c>
      <c r="I71" s="25">
        <v>1.3980977080805391E-3</v>
      </c>
      <c r="J71" s="25">
        <v>1.9879718512228451E-3</v>
      </c>
      <c r="K71" s="25">
        <v>6.201760697965371E-3</v>
      </c>
      <c r="L71" s="25">
        <v>1.0258240316344288E-2</v>
      </c>
      <c r="M71" s="25">
        <v>1.2296798742815867E-2</v>
      </c>
      <c r="N71" s="25">
        <v>9.4853341435184868E-3</v>
      </c>
      <c r="O71" s="25">
        <v>1.7274383130696742E-2</v>
      </c>
      <c r="P71" s="25">
        <v>2.1459740615278569E-2</v>
      </c>
      <c r="W71" s="6"/>
      <c r="X71" s="27"/>
    </row>
    <row r="72" spans="2:24" x14ac:dyDescent="0.3">
      <c r="B72" s="33" t="s">
        <v>71</v>
      </c>
      <c r="C72" s="10" t="s">
        <v>47</v>
      </c>
      <c r="D72" s="12">
        <v>6</v>
      </c>
      <c r="E72" s="11">
        <v>11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6.890927459430148E-4</v>
      </c>
      <c r="L72" s="25">
        <v>8.2797765456005712E-4</v>
      </c>
      <c r="M72" s="25">
        <v>1.7010782009442816E-3</v>
      </c>
      <c r="N72" s="25">
        <v>2.4510922990459588E-3</v>
      </c>
      <c r="O72" s="25">
        <v>3.413193825504604E-3</v>
      </c>
      <c r="P72" s="25">
        <v>4.4107783415867638E-3</v>
      </c>
      <c r="W72" s="6"/>
      <c r="X72" s="27"/>
    </row>
    <row r="73" spans="2:24" x14ac:dyDescent="0.3">
      <c r="B73" s="33" t="s">
        <v>72</v>
      </c>
      <c r="C73" s="10" t="s">
        <v>48</v>
      </c>
      <c r="D73" s="12">
        <v>4</v>
      </c>
      <c r="E73" s="11">
        <v>12</v>
      </c>
      <c r="F73" s="25">
        <v>0</v>
      </c>
      <c r="G73" s="25">
        <v>0</v>
      </c>
      <c r="H73" s="25">
        <v>0</v>
      </c>
      <c r="I73" s="25">
        <v>0</v>
      </c>
      <c r="J73" s="25">
        <v>1.3794118198391238E-4</v>
      </c>
      <c r="K73" s="25">
        <v>9.3611985424891814E-4</v>
      </c>
      <c r="L73" s="25">
        <v>2.3501417279448975E-3</v>
      </c>
      <c r="M73" s="25">
        <v>5.10635951859152E-3</v>
      </c>
      <c r="N73" s="25">
        <v>8.2302421049018758E-3</v>
      </c>
      <c r="O73" s="25">
        <v>1.4083824285875337E-2</v>
      </c>
      <c r="P73" s="25">
        <v>1.9726562211119042E-2</v>
      </c>
      <c r="W73" s="6"/>
      <c r="X73" s="27"/>
    </row>
    <row r="74" spans="2:24" x14ac:dyDescent="0.3">
      <c r="B74" s="33" t="s">
        <v>71</v>
      </c>
      <c r="C74" s="10" t="s">
        <v>49</v>
      </c>
      <c r="D74" s="12">
        <v>2</v>
      </c>
      <c r="E74" s="11">
        <v>12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6.6975329292720401E-4</v>
      </c>
      <c r="M74" s="25">
        <v>9.3099101281382882E-4</v>
      </c>
      <c r="N74" s="25">
        <v>2.7875635472003038E-4</v>
      </c>
      <c r="O74" s="25">
        <v>1.8946020382109025E-3</v>
      </c>
      <c r="P74" s="25">
        <v>2.2279968551098682E-3</v>
      </c>
      <c r="W74" s="6"/>
      <c r="X74" s="27"/>
    </row>
    <row r="75" spans="2:24" x14ac:dyDescent="0.3">
      <c r="B75" s="33" t="s">
        <v>71</v>
      </c>
      <c r="C75" s="22" t="s">
        <v>50</v>
      </c>
      <c r="D75" s="23">
        <v>2</v>
      </c>
      <c r="E75" s="24">
        <v>12</v>
      </c>
      <c r="F75" s="26">
        <v>0</v>
      </c>
      <c r="G75" s="25">
        <v>0</v>
      </c>
      <c r="H75" s="25">
        <v>0</v>
      </c>
      <c r="I75" s="25">
        <v>0</v>
      </c>
      <c r="J75" s="25">
        <v>2.8776965578995278E-4</v>
      </c>
      <c r="K75" s="25">
        <v>1.1132379472096326E-3</v>
      </c>
      <c r="L75" s="25">
        <v>2.3468113673559511E-3</v>
      </c>
      <c r="M75" s="25">
        <v>2.3183918314096967E-3</v>
      </c>
      <c r="N75" s="25">
        <v>1.2930685473740051E-3</v>
      </c>
      <c r="O75" s="25">
        <v>4.0654973197403839E-3</v>
      </c>
      <c r="P75" s="25">
        <v>5.4768568908247035E-3</v>
      </c>
      <c r="W75" s="6"/>
      <c r="X75" s="27"/>
    </row>
    <row r="76" spans="2:24" x14ac:dyDescent="0.3">
      <c r="C76" s="6"/>
      <c r="W76" s="6"/>
      <c r="X76" s="27"/>
    </row>
    <row r="77" spans="2:24" x14ac:dyDescent="0.3">
      <c r="W77" s="6"/>
      <c r="X77" s="27"/>
    </row>
    <row r="78" spans="2:24" x14ac:dyDescent="0.3">
      <c r="W78" s="6"/>
      <c r="X78" s="27"/>
    </row>
    <row r="79" spans="2:24" x14ac:dyDescent="0.3">
      <c r="W79" s="6"/>
      <c r="X79" s="27"/>
    </row>
  </sheetData>
  <mergeCells count="2">
    <mergeCell ref="B18:B19"/>
    <mergeCell ref="F19:P19"/>
  </mergeCells>
  <conditionalFormatting sqref="B20:B75">
    <cfRule type="containsText" dxfId="1" priority="1" operator="containsText" text="No">
      <formula>NOT(ISERROR(SEARCH("No",B20)))</formula>
    </cfRule>
    <cfRule type="containsText" dxfId="0" priority="2" operator="containsText" text="Yes">
      <formula>NOT(ISERROR(SEARCH("Yes",B20)))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8A61-0226-49AB-880C-C3298D6CC239}">
  <dimension ref="A1:AM39"/>
  <sheetViews>
    <sheetView zoomScale="130" zoomScaleNormal="130" workbookViewId="0">
      <selection activeCell="O1" sqref="O1"/>
    </sheetView>
  </sheetViews>
  <sheetFormatPr defaultColWidth="8.88671875" defaultRowHeight="14.4" x14ac:dyDescent="0.3"/>
  <cols>
    <col min="1" max="1" width="21.44140625" style="40" bestFit="1" customWidth="1"/>
    <col min="2" max="16384" width="8.88671875" style="40"/>
  </cols>
  <sheetData>
    <row r="1" spans="1:39" x14ac:dyDescent="0.3">
      <c r="A1" s="40" t="str">
        <f>+'Cofeed Model'!A1</f>
        <v>Mole concentrations (M)</v>
      </c>
    </row>
    <row r="2" spans="1:39" x14ac:dyDescent="0.3">
      <c r="B2" s="40" t="str" cm="1">
        <f t="array" ref="B2:AM2">+TRANSPOSE('Matrix of Reactions'!AP12:AP49)</f>
        <v>ethanol</v>
      </c>
      <c r="C2" s="40" t="str">
        <v>1-butanol</v>
      </c>
      <c r="D2" s="40" t="str">
        <v>1-hexanol</v>
      </c>
      <c r="E2" s="40" t="str">
        <v>1-octanol</v>
      </c>
      <c r="F2" s="40" t="str">
        <v>1-decanol</v>
      </c>
      <c r="G2" s="40" t="str">
        <v>2-ethylbutanol</v>
      </c>
      <c r="H2" s="40" t="str">
        <v>2-ethylhexanol</v>
      </c>
      <c r="I2" s="40" t="str">
        <v>acetaldehyde</v>
      </c>
      <c r="J2" s="40" t="str">
        <v>butyraldehyde</v>
      </c>
      <c r="K2" s="40" t="str">
        <v>ethyl acetate</v>
      </c>
      <c r="L2" s="40" t="str">
        <v>butyl acetate</v>
      </c>
      <c r="M2" s="40" t="str">
        <v>ethyl butanoate</v>
      </c>
      <c r="N2" s="40" t="str">
        <v>Butyl butanoate</v>
      </c>
      <c r="O2" s="40" t="str">
        <v>hexanal</v>
      </c>
      <c r="P2" s="40" t="str">
        <v>octanal</v>
      </c>
      <c r="Q2" s="40" t="str">
        <v>2-ethylbutanal</v>
      </c>
      <c r="R2" s="40" t="str">
        <v>2-ethylhexanal</v>
      </c>
      <c r="S2" s="40" t="str">
        <v>acetone</v>
      </c>
      <c r="T2" s="40" t="str">
        <v>2-pentanone</v>
      </c>
      <c r="U2" s="40" t="str">
        <v>butyl hexanoate</v>
      </c>
      <c r="V2" s="40" t="str">
        <v>ethyl hexanoate</v>
      </c>
      <c r="W2" s="40" t="str">
        <v>hexyl acetate</v>
      </c>
      <c r="X2" s="40" t="str">
        <v>Butyl octanoate</v>
      </c>
      <c r="Y2" s="40" t="str">
        <v>2-ethylbutyl acetate</v>
      </c>
      <c r="Z2" s="40" t="str">
        <v>4-heptanone</v>
      </c>
      <c r="AA2" s="40" t="str">
        <v>4-nonanone</v>
      </c>
      <c r="AB2" s="40" t="str">
        <v>2-heptanone</v>
      </c>
      <c r="AC2" s="40" t="str">
        <v>2-butyl-1-octanol</v>
      </c>
      <c r="AD2" s="40" t="str">
        <v>2-butenal</v>
      </c>
      <c r="AE2" s="40" t="str">
        <v>2-hexenal</v>
      </c>
      <c r="AF2" s="40" t="str">
        <v>2-ethylbutenal</v>
      </c>
      <c r="AG2" s="40" t="str">
        <v>2-octenal</v>
      </c>
      <c r="AH2" s="40" t="str">
        <v>2-ethylhexenal</v>
      </c>
      <c r="AI2" s="40" t="str">
        <v>2-decenal</v>
      </c>
      <c r="AJ2" s="40" t="str">
        <v>decanal</v>
      </c>
      <c r="AK2" s="40" t="str">
        <v>2-butyl-2-octenal</v>
      </c>
      <c r="AL2" s="40" t="str">
        <v>2-butyloctanal</v>
      </c>
      <c r="AM2" s="40" t="str">
        <v>water</v>
      </c>
    </row>
    <row r="3" spans="1:39" x14ac:dyDescent="0.3">
      <c r="A3" s="43" t="str">
        <f>+Summary!J3</f>
        <v>τ (h*kgcat/kmolgas)</v>
      </c>
      <c r="B3" s="40" t="s">
        <v>143</v>
      </c>
      <c r="C3" s="40" t="s">
        <v>144</v>
      </c>
      <c r="D3" s="40" t="s">
        <v>145</v>
      </c>
      <c r="E3" s="40" t="s">
        <v>146</v>
      </c>
      <c r="F3" s="40" t="s">
        <v>147</v>
      </c>
      <c r="G3" s="40" t="s">
        <v>148</v>
      </c>
      <c r="H3" s="40" t="s">
        <v>149</v>
      </c>
      <c r="I3" s="40" t="s">
        <v>150</v>
      </c>
      <c r="J3" s="40" t="s">
        <v>151</v>
      </c>
      <c r="K3" s="40" t="s">
        <v>152</v>
      </c>
      <c r="L3" s="40" t="s">
        <v>153</v>
      </c>
      <c r="M3" s="40" t="s">
        <v>154</v>
      </c>
      <c r="N3" s="40" t="s">
        <v>155</v>
      </c>
      <c r="O3" s="40" t="s">
        <v>156</v>
      </c>
      <c r="P3" s="40" t="s">
        <v>157</v>
      </c>
      <c r="Q3" s="40" t="s">
        <v>158</v>
      </c>
      <c r="R3" s="40" t="s">
        <v>159</v>
      </c>
      <c r="S3" s="40" t="s">
        <v>160</v>
      </c>
      <c r="T3" s="40" t="s">
        <v>161</v>
      </c>
      <c r="U3" s="40" t="s">
        <v>162</v>
      </c>
      <c r="V3" s="40" t="s">
        <v>163</v>
      </c>
      <c r="W3" s="40" t="s">
        <v>164</v>
      </c>
      <c r="X3" s="40" t="s">
        <v>165</v>
      </c>
      <c r="Y3" s="40" t="s">
        <v>166</v>
      </c>
      <c r="Z3" s="40" t="s">
        <v>167</v>
      </c>
      <c r="AA3" s="40" t="s">
        <v>168</v>
      </c>
      <c r="AB3" s="40" t="s">
        <v>169</v>
      </c>
      <c r="AC3" s="40" t="s">
        <v>170</v>
      </c>
      <c r="AD3" s="40" t="s">
        <v>182</v>
      </c>
      <c r="AE3" s="40" t="s">
        <v>183</v>
      </c>
      <c r="AF3" s="40" t="s">
        <v>184</v>
      </c>
      <c r="AG3" s="40" t="s">
        <v>185</v>
      </c>
      <c r="AH3" s="40" t="s">
        <v>186</v>
      </c>
      <c r="AI3" s="40" t="s">
        <v>187</v>
      </c>
      <c r="AJ3" s="40" t="s">
        <v>188</v>
      </c>
      <c r="AK3" s="40" t="s">
        <v>189</v>
      </c>
      <c r="AL3" s="40" t="s">
        <v>190</v>
      </c>
      <c r="AM3" s="40" t="s">
        <v>171</v>
      </c>
    </row>
    <row r="4" spans="1:39" x14ac:dyDescent="0.3">
      <c r="A4" s="98">
        <v>0</v>
      </c>
      <c r="B4" s="98">
        <v>17.16</v>
      </c>
      <c r="C4" s="98">
        <v>0</v>
      </c>
      <c r="D4" s="98">
        <v>0</v>
      </c>
      <c r="E4" s="98">
        <v>0</v>
      </c>
      <c r="F4" s="98">
        <v>0</v>
      </c>
      <c r="G4" s="98">
        <v>0</v>
      </c>
      <c r="H4" s="98">
        <v>0</v>
      </c>
      <c r="I4" s="98">
        <v>0</v>
      </c>
      <c r="J4" s="98">
        <v>0</v>
      </c>
      <c r="K4" s="98">
        <v>0</v>
      </c>
      <c r="L4" s="98">
        <v>0</v>
      </c>
      <c r="M4" s="98">
        <v>0</v>
      </c>
      <c r="N4" s="98">
        <v>0</v>
      </c>
      <c r="O4" s="98">
        <v>0</v>
      </c>
      <c r="P4" s="98">
        <v>0</v>
      </c>
      <c r="Q4" s="98">
        <v>0</v>
      </c>
      <c r="R4" s="98">
        <v>0</v>
      </c>
      <c r="S4" s="98">
        <v>0</v>
      </c>
      <c r="T4" s="98">
        <v>0</v>
      </c>
      <c r="U4" s="98">
        <v>0</v>
      </c>
      <c r="V4" s="98">
        <v>0</v>
      </c>
      <c r="W4" s="98">
        <v>0</v>
      </c>
      <c r="X4" s="98">
        <v>0</v>
      </c>
      <c r="Y4" s="98">
        <v>0</v>
      </c>
      <c r="Z4" s="98">
        <v>0</v>
      </c>
      <c r="AA4" s="98">
        <v>0</v>
      </c>
      <c r="AB4" s="98">
        <v>0</v>
      </c>
      <c r="AC4" s="98">
        <v>0</v>
      </c>
      <c r="AD4" s="98">
        <v>0</v>
      </c>
      <c r="AE4" s="98">
        <v>0</v>
      </c>
      <c r="AF4" s="98">
        <v>0</v>
      </c>
      <c r="AG4" s="98">
        <v>0</v>
      </c>
      <c r="AH4" s="98">
        <v>0</v>
      </c>
      <c r="AI4" s="98">
        <v>0</v>
      </c>
      <c r="AJ4" s="98">
        <v>0</v>
      </c>
      <c r="AK4" s="98">
        <v>0</v>
      </c>
      <c r="AL4" s="98">
        <v>0</v>
      </c>
      <c r="AM4" s="98">
        <v>0</v>
      </c>
    </row>
    <row r="5" spans="1:39" x14ac:dyDescent="0.3">
      <c r="A5" s="98">
        <v>0.12825058412978099</v>
      </c>
      <c r="B5" s="98">
        <v>16.6233889329887</v>
      </c>
      <c r="C5" s="98">
        <v>8.1265771678388902E-4</v>
      </c>
      <c r="D5" s="98">
        <v>2.7983093062326101E-5</v>
      </c>
      <c r="E5" s="98">
        <v>8.0763042208117997E-9</v>
      </c>
      <c r="F5" s="98">
        <v>1.4972552547592401E-14</v>
      </c>
      <c r="G5" s="98">
        <v>5.2302121119494705E-7</v>
      </c>
      <c r="H5" s="98">
        <v>2.4148610642045299E-9</v>
      </c>
      <c r="I5" s="98">
        <v>0.52350424905152204</v>
      </c>
      <c r="J5" s="98">
        <v>8.2185614353116002E-3</v>
      </c>
      <c r="K5" s="98">
        <v>4.1287381173740704E-3</v>
      </c>
      <c r="L5" s="98">
        <v>1.2928682404105501E-7</v>
      </c>
      <c r="M5" s="98">
        <v>3.7621671929993001E-5</v>
      </c>
      <c r="N5" s="98">
        <v>1.2938558982857601E-9</v>
      </c>
      <c r="O5" s="98">
        <v>2.27536240939128E-5</v>
      </c>
      <c r="P5" s="98">
        <v>1.989936908219E-7</v>
      </c>
      <c r="Q5" s="98">
        <v>8.9677302441676208E-6</v>
      </c>
      <c r="R5" s="98">
        <v>4.5492621352206799E-8</v>
      </c>
      <c r="S5" s="98">
        <v>2.5377449440772701E-4</v>
      </c>
      <c r="T5" s="98">
        <v>4.98593638831083E-6</v>
      </c>
      <c r="U5" s="98">
        <v>1.41142314196302E-11</v>
      </c>
      <c r="V5" s="98">
        <v>1.4116290816977001E-7</v>
      </c>
      <c r="W5" s="98">
        <v>5.7028981223218597E-9</v>
      </c>
      <c r="X5" s="98">
        <v>2.2795451075088599E-13</v>
      </c>
      <c r="Y5" s="98">
        <v>9.1930651117359294E-11</v>
      </c>
      <c r="Z5" s="98">
        <v>2.6064829906914299E-8</v>
      </c>
      <c r="AA5" s="98">
        <v>5.6370146843565498E-11</v>
      </c>
      <c r="AB5" s="98">
        <v>4.8176713921691002E-9</v>
      </c>
      <c r="AC5" s="98">
        <v>8.9258519359226205E-18</v>
      </c>
      <c r="AD5" s="98">
        <v>3.0716370504545701E-3</v>
      </c>
      <c r="AE5" s="98">
        <v>2.9705444008684699E-5</v>
      </c>
      <c r="AF5" s="98">
        <v>5.4975383348434202E-6</v>
      </c>
      <c r="AG5" s="98">
        <v>1.62501377305617E-7</v>
      </c>
      <c r="AH5" s="98">
        <v>3.8296612816302603E-8</v>
      </c>
      <c r="AI5" s="98">
        <v>4.7859289822263101E-11</v>
      </c>
      <c r="AJ5" s="98">
        <v>4.3214086417396299E-11</v>
      </c>
      <c r="AK5" s="98">
        <v>6.8195543134233105E-14</v>
      </c>
      <c r="AL5" s="98">
        <v>5.8331131497353899E-14</v>
      </c>
      <c r="AM5" s="98">
        <v>1.2338180094075E-2</v>
      </c>
    </row>
    <row r="6" spans="1:39" x14ac:dyDescent="0.3">
      <c r="A6" s="98">
        <v>0.14952920299663799</v>
      </c>
      <c r="B6" s="98">
        <v>16.535456353125198</v>
      </c>
      <c r="C6" s="98">
        <v>1.5643591191414599E-3</v>
      </c>
      <c r="D6" s="98">
        <v>6.9417336606177206E-5</v>
      </c>
      <c r="E6" s="98">
        <v>3.1098427279759199E-8</v>
      </c>
      <c r="F6" s="98">
        <v>1.00210546985034E-13</v>
      </c>
      <c r="G6" s="98">
        <v>1.46205955395672E-6</v>
      </c>
      <c r="H6" s="98">
        <v>9.4973566394436395E-9</v>
      </c>
      <c r="I6" s="98">
        <v>0.59858441511396998</v>
      </c>
      <c r="J6" s="98">
        <v>1.30865723146551E-2</v>
      </c>
      <c r="K6" s="98">
        <v>5.5542986099281601E-3</v>
      </c>
      <c r="L6" s="98">
        <v>3.38188253459297E-7</v>
      </c>
      <c r="M6" s="98">
        <v>7.1254220910920598E-5</v>
      </c>
      <c r="N6" s="98">
        <v>4.7665344321390202E-9</v>
      </c>
      <c r="O6" s="98">
        <v>4.9122212458802201E-5</v>
      </c>
      <c r="P6" s="98">
        <v>6.3613578031980504E-7</v>
      </c>
      <c r="Q6" s="98">
        <v>2.0765619550330999E-5</v>
      </c>
      <c r="R6" s="98">
        <v>1.4868134474084801E-7</v>
      </c>
      <c r="S6" s="98">
        <v>3.9465799474991598E-4</v>
      </c>
      <c r="T6" s="98">
        <v>1.08937546688466E-5</v>
      </c>
      <c r="U6" s="98">
        <v>7.0915601619077505E-11</v>
      </c>
      <c r="V6" s="98">
        <v>3.6291061821627099E-7</v>
      </c>
      <c r="W6" s="98">
        <v>1.9387478513645901E-8</v>
      </c>
      <c r="X6" s="98">
        <v>1.6940107743590401E-12</v>
      </c>
      <c r="Y6" s="98">
        <v>3.48370237620601E-10</v>
      </c>
      <c r="Z6" s="98">
        <v>7.9928904342905403E-8</v>
      </c>
      <c r="AA6" s="98">
        <v>2.35210615750357E-10</v>
      </c>
      <c r="AB6" s="98">
        <v>1.42986303743155E-8</v>
      </c>
      <c r="AC6" s="98">
        <v>6.6484340976355903E-17</v>
      </c>
      <c r="AD6" s="98">
        <v>4.0941188889408904E-3</v>
      </c>
      <c r="AE6" s="98">
        <v>5.6844041308609202E-5</v>
      </c>
      <c r="AF6" s="98">
        <v>1.05200349174671E-5</v>
      </c>
      <c r="AG6" s="98">
        <v>4.2943247628808399E-7</v>
      </c>
      <c r="AH6" s="98">
        <v>1.03728051533408E-7</v>
      </c>
      <c r="AI6" s="98">
        <v>2.2821284940783999E-10</v>
      </c>
      <c r="AJ6" s="98">
        <v>2.4539857420189899E-10</v>
      </c>
      <c r="AK6" s="98">
        <v>3.5452971270333799E-13</v>
      </c>
      <c r="AL6" s="98">
        <v>3.6520159942696802E-13</v>
      </c>
      <c r="AM6" s="98">
        <v>1.9248840936072799E-2</v>
      </c>
    </row>
    <row r="7" spans="1:39" x14ac:dyDescent="0.3">
      <c r="A7" s="98">
        <v>0.17433825117072199</v>
      </c>
      <c r="B7" s="98">
        <v>16.433769751593498</v>
      </c>
      <c r="C7" s="98">
        <v>2.9647384143299598E-3</v>
      </c>
      <c r="D7" s="98">
        <v>1.6586999151882101E-4</v>
      </c>
      <c r="E7" s="98">
        <v>1.14307429123299E-7</v>
      </c>
      <c r="F7" s="98">
        <v>6.2351250110561803E-13</v>
      </c>
      <c r="G7" s="98">
        <v>3.9686318543099896E-6</v>
      </c>
      <c r="H7" s="98">
        <v>3.5584146891572603E-8</v>
      </c>
      <c r="I7" s="98">
        <v>0.68009337489259802</v>
      </c>
      <c r="J7" s="98">
        <v>2.0433650432616801E-2</v>
      </c>
      <c r="K7" s="98">
        <v>7.4419878566909098E-3</v>
      </c>
      <c r="L7" s="98">
        <v>8.6561036561032602E-7</v>
      </c>
      <c r="M7" s="98">
        <v>1.32657431850156E-4</v>
      </c>
      <c r="N7" s="98">
        <v>1.6819006705856399E-8</v>
      </c>
      <c r="O7" s="98">
        <v>1.026360854409E-4</v>
      </c>
      <c r="P7" s="98">
        <v>1.9367938662849599E-6</v>
      </c>
      <c r="Q7" s="98">
        <v>4.6527154741423502E-5</v>
      </c>
      <c r="R7" s="98">
        <v>4.62040542401862E-7</v>
      </c>
      <c r="S7" s="98">
        <v>6.0851762512074601E-4</v>
      </c>
      <c r="T7" s="98">
        <v>2.3254521282460798E-5</v>
      </c>
      <c r="U7" s="98">
        <v>3.3312221270918598E-10</v>
      </c>
      <c r="V7" s="98">
        <v>9.04145051357039E-7</v>
      </c>
      <c r="W7" s="98">
        <v>6.3028418324594005E-8</v>
      </c>
      <c r="X7" s="98">
        <v>1.1371928181325299E-11</v>
      </c>
      <c r="Y7" s="98">
        <v>1.26989803200733E-9</v>
      </c>
      <c r="Z7" s="98">
        <v>2.35075657545907E-7</v>
      </c>
      <c r="AA7" s="98">
        <v>9.2204472816326895E-10</v>
      </c>
      <c r="AB7" s="98">
        <v>4.0806490447020002E-8</v>
      </c>
      <c r="AC7" s="98">
        <v>4.4633001299130296E-16</v>
      </c>
      <c r="AD7" s="98">
        <v>5.3496721926096199E-3</v>
      </c>
      <c r="AE7" s="98">
        <v>1.04875287443183E-4</v>
      </c>
      <c r="AF7" s="98">
        <v>1.94090996432304E-5</v>
      </c>
      <c r="AG7" s="98">
        <v>1.0776735643297699E-6</v>
      </c>
      <c r="AH7" s="98">
        <v>2.6624980130420999E-7</v>
      </c>
      <c r="AI7" s="98">
        <v>1.0171845523592299E-9</v>
      </c>
      <c r="AJ7" s="98">
        <v>1.3013524893064401E-9</v>
      </c>
      <c r="AK7" s="98">
        <v>1.6728681329215E-12</v>
      </c>
      <c r="AL7" s="98">
        <v>2.0734549413224701E-12</v>
      </c>
      <c r="AM7" s="98">
        <v>2.9805624562319499E-2</v>
      </c>
    </row>
    <row r="8" spans="1:39" x14ac:dyDescent="0.3">
      <c r="A8" s="98">
        <v>0.20326347771645201</v>
      </c>
      <c r="B8" s="98">
        <v>16.3165715537443</v>
      </c>
      <c r="C8" s="98">
        <v>5.5236201604611599E-3</v>
      </c>
      <c r="D8" s="98">
        <v>3.8206748114341698E-4</v>
      </c>
      <c r="E8" s="98">
        <v>4.10910542049636E-7</v>
      </c>
      <c r="F8" s="98">
        <v>4.0324636115319697E-12</v>
      </c>
      <c r="G8" s="98">
        <v>1.05225721070211E-5</v>
      </c>
      <c r="H8" s="98">
        <v>1.30218907615174E-7</v>
      </c>
      <c r="I8" s="98">
        <v>0.76643217614959203</v>
      </c>
      <c r="J8" s="98">
        <v>3.11768918202412E-2</v>
      </c>
      <c r="K8" s="98">
        <v>9.9167396609788003E-3</v>
      </c>
      <c r="L8" s="98">
        <v>2.17634107737777E-6</v>
      </c>
      <c r="M8" s="98">
        <v>2.4240695455678699E-4</v>
      </c>
      <c r="N8" s="98">
        <v>5.7839696308997E-8</v>
      </c>
      <c r="O8" s="98">
        <v>2.0732456370761899E-4</v>
      </c>
      <c r="P8" s="98">
        <v>5.6639419479563103E-6</v>
      </c>
      <c r="Q8" s="98">
        <v>1.00723762430966E-4</v>
      </c>
      <c r="R8" s="98">
        <v>1.3758529068961499E-6</v>
      </c>
      <c r="S8" s="98">
        <v>9.2791806527162005E-4</v>
      </c>
      <c r="T8" s="98">
        <v>4.8439429089199097E-5</v>
      </c>
      <c r="U8" s="98">
        <v>1.5281174402365799E-9</v>
      </c>
      <c r="V8" s="98">
        <v>2.19207328307693E-6</v>
      </c>
      <c r="W8" s="98">
        <v>1.98528363077423E-7</v>
      </c>
      <c r="X8" s="98">
        <v>7.6427307253551296E-11</v>
      </c>
      <c r="Y8" s="98">
        <v>4.5552065284805801E-9</v>
      </c>
      <c r="Z8" s="98">
        <v>6.6722918678824403E-7</v>
      </c>
      <c r="AA8" s="98">
        <v>3.4783552052153701E-9</v>
      </c>
      <c r="AB8" s="98">
        <v>1.1278028694329E-7</v>
      </c>
      <c r="AC8" s="98">
        <v>3.0496518290120999E-15</v>
      </c>
      <c r="AD8" s="98">
        <v>6.8309772508860301E-3</v>
      </c>
      <c r="AE8" s="98">
        <v>1.8568498977262999E-4</v>
      </c>
      <c r="AF8" s="98">
        <v>3.4364414219345603E-5</v>
      </c>
      <c r="AG8" s="98">
        <v>2.5674556196247199E-6</v>
      </c>
      <c r="AH8" s="98">
        <v>6.4643370368805104E-7</v>
      </c>
      <c r="AI8" s="98">
        <v>4.3979558555631096E-9</v>
      </c>
      <c r="AJ8" s="98">
        <v>6.9091257960008502E-9</v>
      </c>
      <c r="AK8" s="98">
        <v>7.3947843075765E-12</v>
      </c>
      <c r="AL8" s="98">
        <v>1.14549039933494E-11</v>
      </c>
      <c r="AM8" s="98">
        <v>4.57047987424661E-2</v>
      </c>
    </row>
    <row r="9" spans="1:39" x14ac:dyDescent="0.3">
      <c r="A9" s="98">
        <v>0.23698781590350701</v>
      </c>
      <c r="B9" s="98">
        <v>16.182079696305099</v>
      </c>
      <c r="C9" s="98">
        <v>1.00716013806519E-2</v>
      </c>
      <c r="D9" s="98">
        <v>8.4191680772515505E-4</v>
      </c>
      <c r="E9" s="98">
        <v>1.4114410675898701E-6</v>
      </c>
      <c r="F9" s="98">
        <v>2.5008131808432599E-11</v>
      </c>
      <c r="G9" s="98">
        <v>2.69497634358415E-5</v>
      </c>
      <c r="H9" s="98">
        <v>4.5378245237855398E-7</v>
      </c>
      <c r="I9" s="98">
        <v>0.85498071826539002</v>
      </c>
      <c r="J9" s="98">
        <v>4.6292176241824697E-2</v>
      </c>
      <c r="K9" s="98">
        <v>1.31201524778592E-2</v>
      </c>
      <c r="L9" s="98">
        <v>5.3298841655068404E-6</v>
      </c>
      <c r="M9" s="98">
        <v>4.32945717292423E-4</v>
      </c>
      <c r="N9" s="98">
        <v>1.90692684550579E-7</v>
      </c>
      <c r="O9" s="98">
        <v>4.0308076465223302E-4</v>
      </c>
      <c r="P9" s="98">
        <v>1.5685171074796198E-5</v>
      </c>
      <c r="Q9" s="98">
        <v>2.0908960915672599E-4</v>
      </c>
      <c r="R9" s="98">
        <v>3.86569574235118E-6</v>
      </c>
      <c r="S9" s="98">
        <v>1.3950567494562601E-3</v>
      </c>
      <c r="T9" s="98">
        <v>9.7864100401063396E-5</v>
      </c>
      <c r="U9" s="98">
        <v>6.6414347160291598E-9</v>
      </c>
      <c r="V9" s="98">
        <v>5.1335091248543603E-6</v>
      </c>
      <c r="W9" s="98">
        <v>5.9644922692316403E-7</v>
      </c>
      <c r="X9" s="98">
        <v>4.7861007000822597E-10</v>
      </c>
      <c r="Y9" s="98">
        <v>1.5739342297941099E-8</v>
      </c>
      <c r="Z9" s="98">
        <v>1.80708968555828E-6</v>
      </c>
      <c r="AA9" s="98">
        <v>1.23721317946603E-8</v>
      </c>
      <c r="AB9" s="98">
        <v>2.9872082786998399E-7</v>
      </c>
      <c r="AC9" s="98">
        <v>1.9385069957113499E-14</v>
      </c>
      <c r="AD9" s="98">
        <v>8.4994163300205795E-3</v>
      </c>
      <c r="AE9" s="98">
        <v>3.14139414185085E-4</v>
      </c>
      <c r="AF9" s="98">
        <v>5.8137269701842703E-5</v>
      </c>
      <c r="AG9" s="98">
        <v>5.7713043932714498E-6</v>
      </c>
      <c r="AH9" s="98">
        <v>1.4756724160093801E-6</v>
      </c>
      <c r="AI9" s="98">
        <v>1.7831923628770201E-8</v>
      </c>
      <c r="AJ9" s="98">
        <v>3.4768413404575401E-8</v>
      </c>
      <c r="AK9" s="98">
        <v>2.9973119645186401E-11</v>
      </c>
      <c r="AL9" s="98">
        <v>5.8347134999920996E-11</v>
      </c>
      <c r="AM9" s="98">
        <v>6.92083039871009E-2</v>
      </c>
    </row>
    <row r="10" spans="1:39" x14ac:dyDescent="0.3">
      <c r="A10" s="98">
        <v>0.27630750746605398</v>
      </c>
      <c r="B10" s="98">
        <v>16.028579029584499</v>
      </c>
      <c r="C10" s="98">
        <v>1.7880739859312801E-2</v>
      </c>
      <c r="D10" s="98">
        <v>1.76250183313709E-3</v>
      </c>
      <c r="E10" s="98">
        <v>4.5315232428463799E-6</v>
      </c>
      <c r="F10" s="98">
        <v>1.3866285254241299E-10</v>
      </c>
      <c r="G10" s="98">
        <v>6.5885906556663597E-5</v>
      </c>
      <c r="H10" s="98">
        <v>1.4714673918407399E-6</v>
      </c>
      <c r="I10" s="98">
        <v>0.94205175964271703</v>
      </c>
      <c r="J10" s="98">
        <v>6.66057207385021E-2</v>
      </c>
      <c r="K10" s="98">
        <v>1.7202222947110001E-2</v>
      </c>
      <c r="L10" s="98">
        <v>1.2580499233840199E-5</v>
      </c>
      <c r="M10" s="98">
        <v>7.5237746011305501E-4</v>
      </c>
      <c r="N10" s="98">
        <v>5.9089002899232701E-7</v>
      </c>
      <c r="O10" s="98">
        <v>7.5085082107660597E-4</v>
      </c>
      <c r="P10" s="98">
        <v>4.0626338244091102E-5</v>
      </c>
      <c r="Q10" s="98">
        <v>4.1316282548931998E-4</v>
      </c>
      <c r="R10" s="98">
        <v>1.01114977357851E-5</v>
      </c>
      <c r="S10" s="98">
        <v>2.0607952596754199E-3</v>
      </c>
      <c r="T10" s="98">
        <v>1.90459346291555E-4</v>
      </c>
      <c r="U10" s="98">
        <v>2.6503016815198601E-8</v>
      </c>
      <c r="V10" s="98">
        <v>1.15244777558862E-5</v>
      </c>
      <c r="W10" s="98">
        <v>1.68225534827863E-6</v>
      </c>
      <c r="X10" s="98">
        <v>2.6359916610489201E-9</v>
      </c>
      <c r="Y10" s="98">
        <v>5.1162145446117902E-8</v>
      </c>
      <c r="Z10" s="98">
        <v>4.6094434733023898E-6</v>
      </c>
      <c r="AA10" s="98">
        <v>4.0631793155255799E-8</v>
      </c>
      <c r="AB10" s="98">
        <v>7.4989730000329301E-7</v>
      </c>
      <c r="AC10" s="98">
        <v>1.07894151820804E-13</v>
      </c>
      <c r="AD10" s="98">
        <v>1.0269726417341E-2</v>
      </c>
      <c r="AE10" s="98">
        <v>5.0492673142509003E-4</v>
      </c>
      <c r="AF10" s="98">
        <v>9.3445972808893306E-5</v>
      </c>
      <c r="AG10" s="98">
        <v>1.21554284263652E-5</v>
      </c>
      <c r="AH10" s="98">
        <v>3.1370121156132101E-6</v>
      </c>
      <c r="AI10" s="98">
        <v>6.5783101118961804E-8</v>
      </c>
      <c r="AJ10" s="98">
        <v>1.5820032907026999E-7</v>
      </c>
      <c r="AK10" s="98">
        <v>1.08799305735477E-10</v>
      </c>
      <c r="AL10" s="98">
        <v>2.6402249056433499E-10</v>
      </c>
      <c r="AM10" s="98">
        <v>0.103148779966887</v>
      </c>
    </row>
    <row r="11" spans="1:39" x14ac:dyDescent="0.3">
      <c r="A11" s="98">
        <v>0.322150902108776</v>
      </c>
      <c r="B11" s="98">
        <v>15.854553985182999</v>
      </c>
      <c r="C11" s="98">
        <v>3.0762690728971101E-2</v>
      </c>
      <c r="D11" s="98">
        <v>3.4917540942642602E-3</v>
      </c>
      <c r="E11" s="98">
        <v>1.3692619749552999E-5</v>
      </c>
      <c r="F11" s="98">
        <v>7.2787459920367003E-10</v>
      </c>
      <c r="G11" s="98">
        <v>1.5336178255682099E-4</v>
      </c>
      <c r="H11" s="98">
        <v>4.4670784384596796E-6</v>
      </c>
      <c r="I11" s="98">
        <v>1.0232004313954499</v>
      </c>
      <c r="J11" s="98">
        <v>9.2393385567938094E-2</v>
      </c>
      <c r="K11" s="98">
        <v>2.2301043710478499E-2</v>
      </c>
      <c r="L11" s="98">
        <v>2.8539149472970001E-5</v>
      </c>
      <c r="M11" s="98">
        <v>1.2668984692460899E-3</v>
      </c>
      <c r="N11" s="98">
        <v>1.72725465948679E-6</v>
      </c>
      <c r="O11" s="98">
        <v>1.33505824581848E-3</v>
      </c>
      <c r="P11" s="98">
        <v>9.8291493155702796E-5</v>
      </c>
      <c r="Q11" s="98">
        <v>7.7256174117128001E-4</v>
      </c>
      <c r="R11" s="98">
        <v>2.4553764699425201E-5</v>
      </c>
      <c r="S11" s="98">
        <v>2.9796274130867799E-3</v>
      </c>
      <c r="T11" s="98">
        <v>3.5523015597759201E-4</v>
      </c>
      <c r="U11" s="98">
        <v>9.9108820939155403E-8</v>
      </c>
      <c r="V11" s="98">
        <v>2.47638433972015E-5</v>
      </c>
      <c r="W11" s="98">
        <v>4.4606982207492102E-6</v>
      </c>
      <c r="X11" s="98">
        <v>1.34886100319945E-8</v>
      </c>
      <c r="Y11" s="98">
        <v>1.5743321490873701E-7</v>
      </c>
      <c r="Z11" s="98">
        <v>1.10399998341123E-5</v>
      </c>
      <c r="AA11" s="98">
        <v>1.24083958711171E-7</v>
      </c>
      <c r="AB11" s="98">
        <v>1.7826467073764299E-6</v>
      </c>
      <c r="AC11" s="98">
        <v>5.59161870490731E-13</v>
      </c>
      <c r="AD11" s="98">
        <v>1.20107431116577E-2</v>
      </c>
      <c r="AE11" s="98">
        <v>7.6613696640078996E-4</v>
      </c>
      <c r="AF11" s="98">
        <v>1.41787684394287E-4</v>
      </c>
      <c r="AG11" s="98">
        <v>2.38900056698968E-5</v>
      </c>
      <c r="AH11" s="98">
        <v>6.1657406405158796E-6</v>
      </c>
      <c r="AI11" s="98">
        <v>2.23657500775926E-7</v>
      </c>
      <c r="AJ11" s="98">
        <v>6.7151407960973199E-7</v>
      </c>
      <c r="AK11" s="98">
        <v>3.5791372627260399E-10</v>
      </c>
      <c r="AL11" s="98">
        <v>1.09676228186161E-9</v>
      </c>
      <c r="AM11" s="98">
        <v>0.15074417319098601</v>
      </c>
    </row>
    <row r="12" spans="1:39" x14ac:dyDescent="0.3">
      <c r="A12" s="98">
        <v>0.375600376121696</v>
      </c>
      <c r="B12" s="98">
        <v>15.658798144271</v>
      </c>
      <c r="C12" s="98">
        <v>5.1007756792473199E-2</v>
      </c>
      <c r="D12" s="98">
        <v>6.5104281372894302E-3</v>
      </c>
      <c r="E12" s="98">
        <v>3.8576726500158797E-5</v>
      </c>
      <c r="F12" s="98">
        <v>3.5408994826787601E-9</v>
      </c>
      <c r="G12" s="98">
        <v>3.3718652654096302E-4</v>
      </c>
      <c r="H12" s="98">
        <v>1.25563421899734E-5</v>
      </c>
      <c r="I12" s="98">
        <v>1.0938937138020399</v>
      </c>
      <c r="J12" s="98">
        <v>0.12302410434847399</v>
      </c>
      <c r="K12" s="98">
        <v>2.8523203914175801E-2</v>
      </c>
      <c r="L12" s="98">
        <v>6.1775338941693001E-5</v>
      </c>
      <c r="M12" s="98">
        <v>2.0575772418722398E-3</v>
      </c>
      <c r="N12" s="98">
        <v>4.7132161729942098E-6</v>
      </c>
      <c r="O12" s="98">
        <v>2.2566257043642201E-3</v>
      </c>
      <c r="P12" s="98">
        <v>2.2039354669759799E-4</v>
      </c>
      <c r="Q12" s="98">
        <v>1.35757873495669E-3</v>
      </c>
      <c r="R12" s="98">
        <v>5.4822396244209602E-5</v>
      </c>
      <c r="S12" s="98">
        <v>4.2016364103134298E-3</v>
      </c>
      <c r="T12" s="98">
        <v>6.31194172689394E-4</v>
      </c>
      <c r="U12" s="98">
        <v>3.4288561195488802E-7</v>
      </c>
      <c r="V12" s="98">
        <v>5.0691710848697403E-5</v>
      </c>
      <c r="W12" s="98">
        <v>1.1033181228660801E-5</v>
      </c>
      <c r="X12" s="98">
        <v>6.2578710545239397E-8</v>
      </c>
      <c r="Y12" s="98">
        <v>4.5377904648891098E-7</v>
      </c>
      <c r="Z12" s="98">
        <v>2.4613540920040801E-5</v>
      </c>
      <c r="AA12" s="98">
        <v>3.4890239792740798E-7</v>
      </c>
      <c r="AB12" s="98">
        <v>3.9878506546484303E-6</v>
      </c>
      <c r="AC12" s="98">
        <v>2.6452321188705501E-12</v>
      </c>
      <c r="AD12" s="98">
        <v>1.3573396225887701E-2</v>
      </c>
      <c r="AE12" s="98">
        <v>1.0927515329861601E-3</v>
      </c>
      <c r="AF12" s="98">
        <v>2.02233891925127E-4</v>
      </c>
      <c r="AG12" s="98">
        <v>4.3643000140983601E-5</v>
      </c>
      <c r="AH12" s="98">
        <v>1.11385068696488E-5</v>
      </c>
      <c r="AI12" s="98">
        <v>6.9270821393828602E-7</v>
      </c>
      <c r="AJ12" s="98">
        <v>2.6179440550958098E-6</v>
      </c>
      <c r="AK12" s="98">
        <v>1.05700704635417E-9</v>
      </c>
      <c r="AL12" s="98">
        <v>4.12253077857498E-9</v>
      </c>
      <c r="AM12" s="98">
        <v>0.215219393595036</v>
      </c>
    </row>
    <row r="13" spans="1:39" x14ac:dyDescent="0.3">
      <c r="A13" s="98">
        <v>0.43791788760884698</v>
      </c>
      <c r="B13" s="98">
        <v>15.4405058328549</v>
      </c>
      <c r="C13" s="98">
        <v>8.1134082929221904E-2</v>
      </c>
      <c r="D13" s="98">
        <v>1.13802847985952E-2</v>
      </c>
      <c r="E13" s="98">
        <v>1.00102612042356E-4</v>
      </c>
      <c r="F13" s="98">
        <v>1.5399630317268099E-8</v>
      </c>
      <c r="G13" s="98">
        <v>6.9460851813116003E-4</v>
      </c>
      <c r="H13" s="98">
        <v>3.2252315250899599E-5</v>
      </c>
      <c r="I13" s="98">
        <v>1.1503701720483099</v>
      </c>
      <c r="J13" s="98">
        <v>0.15682140035987799</v>
      </c>
      <c r="K13" s="98">
        <v>3.5926281677867301E-2</v>
      </c>
      <c r="L13" s="98">
        <v>1.2661554207090499E-4</v>
      </c>
      <c r="M13" s="98">
        <v>3.2115401147358E-3</v>
      </c>
      <c r="N13" s="98">
        <v>1.1853246825114201E-5</v>
      </c>
      <c r="O13" s="98">
        <v>3.6172081774044798E-3</v>
      </c>
      <c r="P13" s="98">
        <v>4.5479802279769198E-4</v>
      </c>
      <c r="Q13" s="98">
        <v>2.2309711328025398E-3</v>
      </c>
      <c r="R13" s="98">
        <v>1.11680687207186E-4</v>
      </c>
      <c r="S13" s="98">
        <v>5.7633940194514203E-3</v>
      </c>
      <c r="T13" s="98">
        <v>1.0636354305014199E-3</v>
      </c>
      <c r="U13" s="98">
        <v>1.0772990970927599E-6</v>
      </c>
      <c r="V13" s="98">
        <v>9.8395154917898302E-5</v>
      </c>
      <c r="W13" s="98">
        <v>2.5246123417804299E-5</v>
      </c>
      <c r="X13" s="98">
        <v>2.5482106442240199E-7</v>
      </c>
      <c r="Y13" s="98">
        <v>1.2083099575002701E-6</v>
      </c>
      <c r="Z13" s="98">
        <v>5.0685420531252799E-5</v>
      </c>
      <c r="AA13" s="98">
        <v>8.9316273402964404E-7</v>
      </c>
      <c r="AB13" s="98">
        <v>8.3441352070743896E-6</v>
      </c>
      <c r="AC13" s="98">
        <v>1.1066075893815899E-11</v>
      </c>
      <c r="AD13" s="98">
        <v>1.48205958771289E-2</v>
      </c>
      <c r="AE13" s="98">
        <v>1.4623792731294999E-3</v>
      </c>
      <c r="AF13" s="98">
        <v>2.7064022088159502E-4</v>
      </c>
      <c r="AG13" s="98">
        <v>7.3989615145429304E-5</v>
      </c>
      <c r="AH13" s="98">
        <v>1.8432988284649601E-5</v>
      </c>
      <c r="AI13" s="98">
        <v>1.92909829888164E-6</v>
      </c>
      <c r="AJ13" s="98">
        <v>9.1607123554056308E-6</v>
      </c>
      <c r="AK13" s="98">
        <v>2.77990327415684E-9</v>
      </c>
      <c r="AL13" s="98">
        <v>1.37612724646499E-8</v>
      </c>
      <c r="AM13" s="98">
        <v>0.29930672157396798</v>
      </c>
    </row>
    <row r="14" spans="1:39" x14ac:dyDescent="0.3">
      <c r="A14" s="98">
        <v>0.51057477169740595</v>
      </c>
      <c r="B14" s="98">
        <v>15.199324681907299</v>
      </c>
      <c r="C14" s="98">
        <v>0.123451905279614</v>
      </c>
      <c r="D14" s="98">
        <v>1.86382318410349E-2</v>
      </c>
      <c r="E14" s="98">
        <v>2.37966903222103E-4</v>
      </c>
      <c r="F14" s="98">
        <v>5.8944950271776298E-8</v>
      </c>
      <c r="G14" s="98">
        <v>1.3352035344288899E-3</v>
      </c>
      <c r="H14" s="98">
        <v>7.5328937364166695E-5</v>
      </c>
      <c r="I14" s="98">
        <v>1.19047786032686</v>
      </c>
      <c r="J14" s="98">
        <v>0.191249633319825</v>
      </c>
      <c r="K14" s="98">
        <v>4.4505811282828503E-2</v>
      </c>
      <c r="L14" s="98">
        <v>2.4471000425914402E-4</v>
      </c>
      <c r="M14" s="98">
        <v>4.8078103241825003E-3</v>
      </c>
      <c r="N14" s="98">
        <v>2.7364139107444301E-5</v>
      </c>
      <c r="O14" s="98">
        <v>5.4970182721184599E-3</v>
      </c>
      <c r="P14" s="98">
        <v>8.6181703719843202E-4</v>
      </c>
      <c r="Q14" s="98">
        <v>3.4227821950307499E-3</v>
      </c>
      <c r="R14" s="98">
        <v>2.07299712671471E-4</v>
      </c>
      <c r="S14" s="98">
        <v>7.6802439576632003E-3</v>
      </c>
      <c r="T14" s="98">
        <v>1.69688640579308E-3</v>
      </c>
      <c r="U14" s="98">
        <v>3.0650808417347201E-6</v>
      </c>
      <c r="V14" s="98">
        <v>1.8068757822965701E-4</v>
      </c>
      <c r="W14" s="98">
        <v>5.3313190539880399E-5</v>
      </c>
      <c r="X14" s="98">
        <v>9.0869490210335995E-7</v>
      </c>
      <c r="Y14" s="98">
        <v>2.9536302911183401E-6</v>
      </c>
      <c r="Z14" s="98">
        <v>9.6226975466667195E-5</v>
      </c>
      <c r="AA14" s="98">
        <v>2.07853976861309E-6</v>
      </c>
      <c r="AB14" s="98">
        <v>1.6300056085248699E-5</v>
      </c>
      <c r="AC14" s="98">
        <v>4.0573136956294397E-11</v>
      </c>
      <c r="AD14" s="98">
        <v>1.5662846941624901E-2</v>
      </c>
      <c r="AE14" s="98">
        <v>1.8378311227279999E-3</v>
      </c>
      <c r="AF14" s="98">
        <v>3.4012441765955801E-4</v>
      </c>
      <c r="AG14" s="98">
        <v>1.1660446470380699E-4</v>
      </c>
      <c r="AH14" s="98">
        <v>2.79830792194459E-5</v>
      </c>
      <c r="AI14" s="98">
        <v>4.8171890891458497E-6</v>
      </c>
      <c r="AJ14" s="98">
        <v>2.85394202212767E-5</v>
      </c>
      <c r="AK14" s="98">
        <v>6.5655327291494798E-9</v>
      </c>
      <c r="AL14" s="98">
        <v>4.0809020955196902E-8</v>
      </c>
      <c r="AM14" s="98">
        <v>0.40474383989526902</v>
      </c>
    </row>
    <row r="15" spans="1:39" x14ac:dyDescent="0.3">
      <c r="A15" s="98">
        <v>0.59528647920111</v>
      </c>
      <c r="B15" s="98">
        <v>14.935301097120901</v>
      </c>
      <c r="C15" s="98">
        <v>0.17939243621630899</v>
      </c>
      <c r="D15" s="98">
        <v>2.8623300600366199E-2</v>
      </c>
      <c r="E15" s="98">
        <v>5.1954823318570696E-4</v>
      </c>
      <c r="F15" s="98">
        <v>2.0424072470024199E-7</v>
      </c>
      <c r="G15" s="98">
        <v>2.3921935259550199E-3</v>
      </c>
      <c r="H15" s="98">
        <v>1.6036052412173E-4</v>
      </c>
      <c r="I15" s="98">
        <v>1.2145201183330501</v>
      </c>
      <c r="J15" s="98">
        <v>0.22353408173699299</v>
      </c>
      <c r="K15" s="98">
        <v>5.4190531990854801E-2</v>
      </c>
      <c r="L15" s="98">
        <v>4.4551863492829299E-4</v>
      </c>
      <c r="M15" s="98">
        <v>6.89796438303923E-3</v>
      </c>
      <c r="N15" s="98">
        <v>5.8006899943921799E-5</v>
      </c>
      <c r="O15" s="98">
        <v>7.9297858944032493E-3</v>
      </c>
      <c r="P15" s="98">
        <v>1.49891422899908E-3</v>
      </c>
      <c r="Q15" s="98">
        <v>4.9022236485740996E-3</v>
      </c>
      <c r="R15" s="98">
        <v>3.50729241007353E-4</v>
      </c>
      <c r="S15" s="98">
        <v>9.9405403464936197E-3</v>
      </c>
      <c r="T15" s="98">
        <v>2.5627977888455899E-3</v>
      </c>
      <c r="U15" s="98">
        <v>7.9391471541117106E-6</v>
      </c>
      <c r="V15" s="98">
        <v>3.1401146411606101E-4</v>
      </c>
      <c r="W15" s="98">
        <v>1.04117940092921E-4</v>
      </c>
      <c r="X15" s="98">
        <v>2.8739992445781899E-6</v>
      </c>
      <c r="Y15" s="98">
        <v>6.6468642801346298E-6</v>
      </c>
      <c r="Z15" s="98">
        <v>1.68483298659106E-4</v>
      </c>
      <c r="AA15" s="98">
        <v>4.4090846897624403E-6</v>
      </c>
      <c r="AB15" s="98">
        <v>2.9766767909577E-5</v>
      </c>
      <c r="AC15" s="98">
        <v>1.34035999373501E-10</v>
      </c>
      <c r="AD15" s="98">
        <v>1.60907759983718E-2</v>
      </c>
      <c r="AE15" s="98">
        <v>2.1778120350547602E-3</v>
      </c>
      <c r="AF15" s="98">
        <v>4.03044038069003E-4</v>
      </c>
      <c r="AG15" s="98">
        <v>1.71394318975608E-4</v>
      </c>
      <c r="AH15" s="98">
        <v>3.9067057369540803E-5</v>
      </c>
      <c r="AI15" s="98">
        <v>1.0835126555364601E-5</v>
      </c>
      <c r="AJ15" s="98">
        <v>8.0251095031447394E-5</v>
      </c>
      <c r="AK15" s="98">
        <v>1.38526778484979E-8</v>
      </c>
      <c r="AL15" s="98">
        <v>1.08765044880673E-7</v>
      </c>
      <c r="AM15" s="98">
        <v>0.53177672460580305</v>
      </c>
    </row>
    <row r="16" spans="1:39" x14ac:dyDescent="0.3">
      <c r="A16" s="98">
        <v>0.694053078928213</v>
      </c>
      <c r="B16" s="98">
        <v>14.648885689315</v>
      </c>
      <c r="C16" s="98">
        <v>0.249300027920312</v>
      </c>
      <c r="D16" s="98">
        <v>4.1415800350576203E-2</v>
      </c>
      <c r="E16" s="98">
        <v>1.0422410822534399E-3</v>
      </c>
      <c r="F16" s="98">
        <v>6.3185837089058898E-7</v>
      </c>
      <c r="G16" s="98">
        <v>4.0020083770285E-3</v>
      </c>
      <c r="H16" s="98">
        <v>3.1182027729490799E-4</v>
      </c>
      <c r="I16" s="98">
        <v>1.22429846985266</v>
      </c>
      <c r="J16" s="98">
        <v>0.251483508562027</v>
      </c>
      <c r="K16" s="98">
        <v>6.4870597043771405E-2</v>
      </c>
      <c r="L16" s="98">
        <v>7.65059471674913E-4</v>
      </c>
      <c r="M16" s="98">
        <v>9.5028073820703305E-3</v>
      </c>
      <c r="N16" s="98">
        <v>1.13037611431674E-4</v>
      </c>
      <c r="O16" s="98">
        <v>1.09007110439903E-2</v>
      </c>
      <c r="P16" s="98">
        <v>2.40082664148008E-3</v>
      </c>
      <c r="Q16" s="98">
        <v>6.5844689338794699E-3</v>
      </c>
      <c r="R16" s="98">
        <v>5.4426795275639502E-4</v>
      </c>
      <c r="S16" s="98">
        <v>1.25161043023134E-2</v>
      </c>
      <c r="T16" s="98">
        <v>3.67717255414727E-3</v>
      </c>
      <c r="U16" s="98">
        <v>1.86430528318908E-5</v>
      </c>
      <c r="V16" s="98">
        <v>5.1760930022489902E-4</v>
      </c>
      <c r="W16" s="98">
        <v>1.88782164125603E-4</v>
      </c>
      <c r="X16" s="98">
        <v>7.9616390053124197E-6</v>
      </c>
      <c r="Y16" s="98">
        <v>1.37763838399526E-5</v>
      </c>
      <c r="Z16" s="98">
        <v>2.7347158510434698E-4</v>
      </c>
      <c r="AA16" s="98">
        <v>8.5562112797090998E-6</v>
      </c>
      <c r="AB16" s="98">
        <v>5.1004518326183503E-5</v>
      </c>
      <c r="AC16" s="98">
        <v>3.9467659603504702E-10</v>
      </c>
      <c r="AD16" s="98">
        <v>1.61507783795455E-2</v>
      </c>
      <c r="AE16" s="98">
        <v>2.4521292070250902E-3</v>
      </c>
      <c r="AF16" s="98">
        <v>4.5381187508043897E-4</v>
      </c>
      <c r="AG16" s="98">
        <v>2.3682598861052601E-4</v>
      </c>
      <c r="AH16" s="98">
        <v>5.0715712600148301E-5</v>
      </c>
      <c r="AI16" s="98">
        <v>2.2055231213188201E-5</v>
      </c>
      <c r="AJ16" s="98">
        <v>2.0306342789879199E-4</v>
      </c>
      <c r="AK16" s="98">
        <v>2.6337942488549101E-8</v>
      </c>
      <c r="AL16" s="98">
        <v>2.60039117945036E-7</v>
      </c>
      <c r="AM16" s="98">
        <v>0.679590532441396</v>
      </c>
    </row>
    <row r="17" spans="1:39" x14ac:dyDescent="0.3">
      <c r="A17" s="98">
        <v>0.80920647990560601</v>
      </c>
      <c r="B17" s="98">
        <v>14.340663764622599</v>
      </c>
      <c r="C17" s="98">
        <v>0.33220740681077099</v>
      </c>
      <c r="D17" s="98">
        <v>5.6795873650574799E-2</v>
      </c>
      <c r="E17" s="98">
        <v>1.9290251216429299E-3</v>
      </c>
      <c r="F17" s="98">
        <v>1.7760152127529701E-6</v>
      </c>
      <c r="G17" s="98">
        <v>6.2741503674203598E-3</v>
      </c>
      <c r="H17" s="98">
        <v>5.5721025657615598E-4</v>
      </c>
      <c r="I17" s="98">
        <v>1.2229182929357001</v>
      </c>
      <c r="J17" s="98">
        <v>0.27408509998160402</v>
      </c>
      <c r="K17" s="98">
        <v>7.6415482573852597E-2</v>
      </c>
      <c r="L17" s="98">
        <v>1.2432138065929499E-3</v>
      </c>
      <c r="M17" s="98">
        <v>1.2606539962797101E-2</v>
      </c>
      <c r="N17" s="98">
        <v>2.0379899871314801E-4</v>
      </c>
      <c r="O17" s="98">
        <v>1.4344785828378301E-2</v>
      </c>
      <c r="P17" s="98">
        <v>3.55558315980966E-3</v>
      </c>
      <c r="Q17" s="98">
        <v>8.3492426516641096E-3</v>
      </c>
      <c r="R17" s="98">
        <v>7.8164170738384499E-4</v>
      </c>
      <c r="S17" s="98">
        <v>1.5367793049123101E-2</v>
      </c>
      <c r="T17" s="98">
        <v>5.0363808339593599E-3</v>
      </c>
      <c r="U17" s="98">
        <v>4.0055537596946203E-5</v>
      </c>
      <c r="V17" s="98">
        <v>8.1173211428207102E-4</v>
      </c>
      <c r="W17" s="98">
        <v>3.1975872374723501E-4</v>
      </c>
      <c r="X17" s="98">
        <v>1.95928805212638E-5</v>
      </c>
      <c r="Y17" s="98">
        <v>2.6445724666305101E-5</v>
      </c>
      <c r="Z17" s="98">
        <v>4.14550997149826E-4</v>
      </c>
      <c r="AA17" s="98">
        <v>1.5315795264728401E-5</v>
      </c>
      <c r="AB17" s="98">
        <v>8.2420522912448395E-5</v>
      </c>
      <c r="AC17" s="98">
        <v>1.05246623942664E-9</v>
      </c>
      <c r="AD17" s="98">
        <v>1.5929773786221301E-2</v>
      </c>
      <c r="AE17" s="98">
        <v>2.64867123797106E-3</v>
      </c>
      <c r="AF17" s="98">
        <v>4.9018543914189599E-4</v>
      </c>
      <c r="AG17" s="98">
        <v>3.1002968595404299E-4</v>
      </c>
      <c r="AH17" s="98">
        <v>6.1994336164885306E-5</v>
      </c>
      <c r="AI17" s="98">
        <v>4.0933208054019199E-5</v>
      </c>
      <c r="AJ17" s="98">
        <v>4.6723385838294502E-4</v>
      </c>
      <c r="AK17" s="98">
        <v>4.5743227101546801E-8</v>
      </c>
      <c r="AL17" s="98">
        <v>5.6442460123384201E-7</v>
      </c>
      <c r="AM17" s="98">
        <v>0.84650542006103902</v>
      </c>
    </row>
    <row r="18" spans="1:39" x14ac:dyDescent="0.3">
      <c r="A18" s="98">
        <v>0.94346548844998401</v>
      </c>
      <c r="B18" s="98">
        <v>14.011404975255999</v>
      </c>
      <c r="C18" s="98">
        <v>0.42638777972186698</v>
      </c>
      <c r="D18" s="98">
        <v>7.4382572770085503E-2</v>
      </c>
      <c r="E18" s="98">
        <v>3.3127314618362799E-3</v>
      </c>
      <c r="F18" s="98">
        <v>4.53601689911877E-6</v>
      </c>
      <c r="G18" s="98">
        <v>9.2774710088073201E-3</v>
      </c>
      <c r="H18" s="98">
        <v>9.2332663860756801E-4</v>
      </c>
      <c r="I18" s="98">
        <v>1.2133621979317399</v>
      </c>
      <c r="J18" s="98">
        <v>0.29137398999981901</v>
      </c>
      <c r="K18" s="98">
        <v>8.8697707972983306E-2</v>
      </c>
      <c r="L18" s="98">
        <v>1.9216060092563101E-3</v>
      </c>
      <c r="M18" s="98">
        <v>1.6174707619543399E-2</v>
      </c>
      <c r="N18" s="98">
        <v>3.4289929311681101E-4</v>
      </c>
      <c r="O18" s="98">
        <v>1.8173786627549898E-2</v>
      </c>
      <c r="P18" s="98">
        <v>4.9011062158276497E-3</v>
      </c>
      <c r="Q18" s="98">
        <v>1.0083146683807401E-2</v>
      </c>
      <c r="R18" s="98">
        <v>1.0517176259666099E-3</v>
      </c>
      <c r="S18" s="98">
        <v>1.8457623849041899E-2</v>
      </c>
      <c r="T18" s="98">
        <v>6.6266832954075998E-3</v>
      </c>
      <c r="U18" s="98">
        <v>7.9329735986248195E-5</v>
      </c>
      <c r="V18" s="98">
        <v>1.21659472226614E-3</v>
      </c>
      <c r="W18" s="98">
        <v>5.0998382724688296E-4</v>
      </c>
      <c r="X18" s="98">
        <v>4.3144110575475397E-5</v>
      </c>
      <c r="Y18" s="98">
        <v>4.7321951407808598E-5</v>
      </c>
      <c r="Z18" s="98">
        <v>5.9281061265981203E-4</v>
      </c>
      <c r="AA18" s="98">
        <v>2.5545366966590999E-5</v>
      </c>
      <c r="AB18" s="98">
        <v>1.2644645000503099E-4</v>
      </c>
      <c r="AC18" s="98">
        <v>2.5518333892731798E-9</v>
      </c>
      <c r="AD18" s="98">
        <v>1.55124027340634E-2</v>
      </c>
      <c r="AE18" s="98">
        <v>2.77056182036339E-3</v>
      </c>
      <c r="AF18" s="98">
        <v>5.1274339294960696E-4</v>
      </c>
      <c r="AG18" s="98">
        <v>3.8776210488778503E-4</v>
      </c>
      <c r="AH18" s="98">
        <v>7.2307671101906696E-5</v>
      </c>
      <c r="AI18" s="98">
        <v>6.9860668506339598E-5</v>
      </c>
      <c r="AJ18" s="98">
        <v>9.83167680606296E-4</v>
      </c>
      <c r="AK18" s="98">
        <v>7.3556080668783505E-8</v>
      </c>
      <c r="AL18" s="98">
        <v>1.12316606163026E-6</v>
      </c>
      <c r="AM18" s="98">
        <v>1.0307401644377701</v>
      </c>
    </row>
    <row r="19" spans="1:39" x14ac:dyDescent="0.3">
      <c r="A19" s="98">
        <v>1.1000000000000001</v>
      </c>
      <c r="B19" s="98">
        <v>13.661982333659701</v>
      </c>
      <c r="C19" s="98">
        <v>0.52968402374741796</v>
      </c>
      <c r="D19" s="98">
        <v>9.3717974098521797E-2</v>
      </c>
      <c r="E19" s="98">
        <v>5.3156513763108204E-3</v>
      </c>
      <c r="F19" s="98">
        <v>1.06173984366263E-5</v>
      </c>
      <c r="G19" s="98">
        <v>1.3033259561013999E-2</v>
      </c>
      <c r="H19" s="98">
        <v>1.43344426500218E-3</v>
      </c>
      <c r="I19" s="98">
        <v>1.1981730305668099</v>
      </c>
      <c r="J19" s="98">
        <v>0.304141291732626</v>
      </c>
      <c r="K19" s="98">
        <v>0.10159898330428201</v>
      </c>
      <c r="L19" s="98">
        <v>2.8418279358258598E-3</v>
      </c>
      <c r="M19" s="98">
        <v>2.0163510470064001E-2</v>
      </c>
      <c r="N19" s="98">
        <v>5.4358470583469305E-4</v>
      </c>
      <c r="O19" s="98">
        <v>2.2292831152149799E-2</v>
      </c>
      <c r="P19" s="98">
        <v>6.3296388986722896E-3</v>
      </c>
      <c r="Q19" s="98">
        <v>1.17035259688887E-2</v>
      </c>
      <c r="R19" s="98">
        <v>1.3423066394369599E-3</v>
      </c>
      <c r="S19" s="98">
        <v>2.1751751474945701E-2</v>
      </c>
      <c r="T19" s="98">
        <v>8.4295186616366192E-3</v>
      </c>
      <c r="U19" s="98">
        <v>1.4619564016728101E-4</v>
      </c>
      <c r="V19" s="98">
        <v>1.75137102694195E-3</v>
      </c>
      <c r="W19" s="98">
        <v>7.7225917055842195E-4</v>
      </c>
      <c r="X19" s="98">
        <v>8.5980791847984996E-5</v>
      </c>
      <c r="Y19" s="98">
        <v>7.9574063759979495E-5</v>
      </c>
      <c r="Z19" s="98">
        <v>8.0770488909529198E-4</v>
      </c>
      <c r="AA19" s="98">
        <v>4.0119622717281697E-5</v>
      </c>
      <c r="AB19" s="98">
        <v>1.8544120363717399E-4</v>
      </c>
      <c r="AC19" s="98">
        <v>5.6862223994123297E-9</v>
      </c>
      <c r="AD19" s="98">
        <v>1.4969244088618701E-2</v>
      </c>
      <c r="AE19" s="98">
        <v>2.8307598881690899E-3</v>
      </c>
      <c r="AF19" s="98">
        <v>5.2388424006508604E-4</v>
      </c>
      <c r="AG19" s="98">
        <v>4.66944723627594E-4</v>
      </c>
      <c r="AH19" s="98">
        <v>8.1411099530034696E-5</v>
      </c>
      <c r="AI19" s="98">
        <v>1.10675141962709E-4</v>
      </c>
      <c r="AJ19" s="98">
        <v>1.9095014477448699E-3</v>
      </c>
      <c r="AK19" s="98">
        <v>1.10610656346711E-7</v>
      </c>
      <c r="AL19" s="98">
        <v>2.07256851969011E-6</v>
      </c>
      <c r="AM19" s="98">
        <v>1.2306589380625601</v>
      </c>
    </row>
    <row r="20" spans="1:39" x14ac:dyDescent="0.3">
      <c r="A20" s="98">
        <v>1.2825058412978101</v>
      </c>
      <c r="B20" s="98">
        <v>13.2932077585515</v>
      </c>
      <c r="C20" s="98">
        <v>0.63991375944510798</v>
      </c>
      <c r="D20" s="98">
        <v>0.11436183115206</v>
      </c>
      <c r="E20" s="98">
        <v>8.0233690021161898E-3</v>
      </c>
      <c r="F20" s="98">
        <v>2.3010206288645401E-5</v>
      </c>
      <c r="G20" s="98">
        <v>1.7519560266322599E-2</v>
      </c>
      <c r="H20" s="98">
        <v>2.1055828235428098E-3</v>
      </c>
      <c r="I20" s="98">
        <v>1.1792303199257099</v>
      </c>
      <c r="J20" s="98">
        <v>0.31354432985637498</v>
      </c>
      <c r="K20" s="98">
        <v>0.115018719080049</v>
      </c>
      <c r="L20" s="98">
        <v>4.0435774965933997E-3</v>
      </c>
      <c r="M20" s="98">
        <v>2.4530070820875199E-2</v>
      </c>
      <c r="N20" s="98">
        <v>8.1932042396250704E-4</v>
      </c>
      <c r="O20" s="98">
        <v>2.6612466059786E-2</v>
      </c>
      <c r="P20" s="98">
        <v>7.7060075466346897E-3</v>
      </c>
      <c r="Q20" s="98">
        <v>1.31722871215061E-2</v>
      </c>
      <c r="R20" s="98">
        <v>1.6439091512783601E-3</v>
      </c>
      <c r="S20" s="98">
        <v>2.5223298037022199E-2</v>
      </c>
      <c r="T20" s="98">
        <v>1.0427094992891199E-2</v>
      </c>
      <c r="U20" s="98">
        <v>2.5312158740711799E-4</v>
      </c>
      <c r="V20" s="98">
        <v>2.43305735248849E-3</v>
      </c>
      <c r="W20" s="98">
        <v>1.1186640629832099E-3</v>
      </c>
      <c r="X20" s="98">
        <v>1.568969114E-4</v>
      </c>
      <c r="Y20" s="98">
        <v>1.2672744799533899E-4</v>
      </c>
      <c r="Z20" s="98">
        <v>1.0580907709118301E-3</v>
      </c>
      <c r="AA20" s="98">
        <v>5.9904617195213802E-5</v>
      </c>
      <c r="AB20" s="98">
        <v>2.61595191641765E-4</v>
      </c>
      <c r="AC20" s="98">
        <v>1.1779802317655901E-8</v>
      </c>
      <c r="AD20" s="98">
        <v>1.43508506561242E-2</v>
      </c>
      <c r="AE20" s="98">
        <v>2.8456878572686701E-3</v>
      </c>
      <c r="AF20" s="98">
        <v>5.2664677781734599E-4</v>
      </c>
      <c r="AG20" s="98">
        <v>5.4494446439112203E-4</v>
      </c>
      <c r="AH20" s="98">
        <v>8.9350876780820205E-5</v>
      </c>
      <c r="AI20" s="98">
        <v>1.64085924573737E-4</v>
      </c>
      <c r="AJ20" s="98">
        <v>3.4540348439270402E-3</v>
      </c>
      <c r="AK20" s="98">
        <v>1.5716735343439299E-7</v>
      </c>
      <c r="AL20" s="98">
        <v>3.5850731524483102E-6</v>
      </c>
      <c r="AM20" s="98">
        <v>1.4450110065987001</v>
      </c>
    </row>
    <row r="21" spans="1:39" x14ac:dyDescent="0.3">
      <c r="A21" s="98">
        <v>1.4952920299663801</v>
      </c>
      <c r="B21" s="98">
        <v>12.905862996204901</v>
      </c>
      <c r="C21" s="98">
        <v>0.75516740188668297</v>
      </c>
      <c r="D21" s="98">
        <v>0.13595183827780599</v>
      </c>
      <c r="E21" s="98">
        <v>1.1464695144575999E-2</v>
      </c>
      <c r="F21" s="98">
        <v>4.6584013936094398E-5</v>
      </c>
      <c r="G21" s="98">
        <v>2.26886884225346E-2</v>
      </c>
      <c r="H21" s="98">
        <v>2.9532950411375698E-3</v>
      </c>
      <c r="I21" s="98">
        <v>1.1577060843045901</v>
      </c>
      <c r="J21" s="98">
        <v>0.32068515362211703</v>
      </c>
      <c r="K21" s="98">
        <v>0.128870893827356</v>
      </c>
      <c r="L21" s="98">
        <v>5.5644186265775596E-3</v>
      </c>
      <c r="M21" s="98">
        <v>2.92397416682071E-2</v>
      </c>
      <c r="N21" s="98">
        <v>1.1838880806252601E-3</v>
      </c>
      <c r="O21" s="98">
        <v>3.1056596882635099E-2</v>
      </c>
      <c r="P21" s="98">
        <v>8.8968289819382207E-3</v>
      </c>
      <c r="Q21" s="98">
        <v>1.44912046922154E-2</v>
      </c>
      <c r="R21" s="98">
        <v>1.9515610499219399E-3</v>
      </c>
      <c r="S21" s="98">
        <v>2.8851703025636999E-2</v>
      </c>
      <c r="T21" s="98">
        <v>1.2606268906262499E-2</v>
      </c>
      <c r="U21" s="98">
        <v>4.1528641663934201E-4</v>
      </c>
      <c r="V21" s="98">
        <v>3.2763342679224799E-3</v>
      </c>
      <c r="W21" s="98">
        <v>1.5605233450234901E-3</v>
      </c>
      <c r="X21" s="98">
        <v>2.6486874110193001E-4</v>
      </c>
      <c r="Y21" s="98">
        <v>1.9254052528225099E-4</v>
      </c>
      <c r="Z21" s="98">
        <v>1.3432540331596199E-3</v>
      </c>
      <c r="AA21" s="98">
        <v>8.5770336154579298E-5</v>
      </c>
      <c r="AB21" s="98">
        <v>3.5693758373274101E-4</v>
      </c>
      <c r="AC21" s="98">
        <v>2.2916453542807601E-8</v>
      </c>
      <c r="AD21" s="98">
        <v>1.36884522106763E-2</v>
      </c>
      <c r="AE21" s="98">
        <v>2.8296136793588399E-3</v>
      </c>
      <c r="AF21" s="98">
        <v>5.2367209303243699E-4</v>
      </c>
      <c r="AG21" s="98">
        <v>6.1960524028460901E-4</v>
      </c>
      <c r="AH21" s="98">
        <v>9.6286739437206905E-5</v>
      </c>
      <c r="AI21" s="98">
        <v>2.2932107677292501E-4</v>
      </c>
      <c r="AJ21" s="98">
        <v>5.86612221581296E-3</v>
      </c>
      <c r="AK21" s="98">
        <v>2.1311268063332599E-7</v>
      </c>
      <c r="AL21" s="98">
        <v>5.8678615696118297E-6</v>
      </c>
      <c r="AM21" s="98">
        <v>1.6729696982967901</v>
      </c>
    </row>
    <row r="22" spans="1:39" x14ac:dyDescent="0.3">
      <c r="A22" s="98">
        <v>1.7433825117072199</v>
      </c>
      <c r="B22" s="98">
        <v>12.5008144995489</v>
      </c>
      <c r="C22" s="98">
        <v>0.87385492956333699</v>
      </c>
      <c r="D22" s="98">
        <v>0.15820324897024499</v>
      </c>
      <c r="E22" s="98">
        <v>1.56034874886709E-2</v>
      </c>
      <c r="F22" s="98">
        <v>8.8775631449937995E-5</v>
      </c>
      <c r="G22" s="98">
        <v>2.8484232010220201E-2</v>
      </c>
      <c r="H22" s="98">
        <v>3.9876760189784801E-3</v>
      </c>
      <c r="I22" s="98">
        <v>1.1342538862821301</v>
      </c>
      <c r="J22" s="98">
        <v>0.32640345059047798</v>
      </c>
      <c r="K22" s="98">
        <v>0.14307456895273901</v>
      </c>
      <c r="L22" s="98">
        <v>7.4402362706581402E-3</v>
      </c>
      <c r="M22" s="98">
        <v>3.42662732962754E-2</v>
      </c>
      <c r="N22" s="98">
        <v>1.6518191906816301E-3</v>
      </c>
      <c r="O22" s="98">
        <v>3.5563906806983799E-2</v>
      </c>
      <c r="P22" s="98">
        <v>9.7957709423774804E-3</v>
      </c>
      <c r="Q22" s="98">
        <v>1.5685833437201199E-2</v>
      </c>
      <c r="R22" s="98">
        <v>2.26415896890831E-3</v>
      </c>
      <c r="S22" s="98">
        <v>3.2619661770538502E-2</v>
      </c>
      <c r="T22" s="98">
        <v>1.4958719505770299E-2</v>
      </c>
      <c r="U22" s="98">
        <v>6.5059058154620002E-4</v>
      </c>
      <c r="V22" s="98">
        <v>4.2937762040869999E-3</v>
      </c>
      <c r="W22" s="98">
        <v>2.1086159983345698E-3</v>
      </c>
      <c r="X22" s="98">
        <v>4.17640112906234E-4</v>
      </c>
      <c r="Y22" s="98">
        <v>2.8094960415027702E-4</v>
      </c>
      <c r="Z22" s="98">
        <v>1.6633389148970701E-3</v>
      </c>
      <c r="AA22" s="98">
        <v>1.18623109884507E-4</v>
      </c>
      <c r="AB22" s="98">
        <v>4.7337440225046502E-4</v>
      </c>
      <c r="AC22" s="98">
        <v>4.2224847968463601E-8</v>
      </c>
      <c r="AD22" s="98">
        <v>1.2999827741767399E-2</v>
      </c>
      <c r="AE22" s="98">
        <v>2.7928452455600701E-3</v>
      </c>
      <c r="AF22" s="98">
        <v>5.1686730161933602E-4</v>
      </c>
      <c r="AG22" s="98">
        <v>6.8925044145508698E-4</v>
      </c>
      <c r="AH22" s="98">
        <v>1.02365772860428E-4</v>
      </c>
      <c r="AI22" s="98">
        <v>3.0412719138499098E-4</v>
      </c>
      <c r="AJ22" s="98">
        <v>9.4232370874492901E-3</v>
      </c>
      <c r="AK22" s="98">
        <v>2.7787023382087401E-7</v>
      </c>
      <c r="AL22" s="98">
        <v>9.1625029519002403E-6</v>
      </c>
      <c r="AM22" s="98">
        <v>1.9139793592243299</v>
      </c>
    </row>
    <row r="23" spans="1:39" x14ac:dyDescent="0.3">
      <c r="A23" s="98">
        <v>2.0326347771645201</v>
      </c>
      <c r="B23" s="98">
        <v>12.078985604042501</v>
      </c>
      <c r="C23" s="98">
        <v>0.99467411426464303</v>
      </c>
      <c r="D23" s="98">
        <v>0.180895797443621</v>
      </c>
      <c r="E23" s="98">
        <v>2.0338873957571401E-2</v>
      </c>
      <c r="F23" s="98">
        <v>1.6037303531269399E-4</v>
      </c>
      <c r="G23" s="98">
        <v>3.4851694509396798E-2</v>
      </c>
      <c r="H23" s="98">
        <v>5.2187882077266001E-3</v>
      </c>
      <c r="I23" s="98">
        <v>1.1092169639165701</v>
      </c>
      <c r="J23" s="98">
        <v>0.331258222524414</v>
      </c>
      <c r="K23" s="98">
        <v>0.15755163526187199</v>
      </c>
      <c r="L23" s="98">
        <v>9.70485760119872E-3</v>
      </c>
      <c r="M23" s="98">
        <v>3.95898223766405E-2</v>
      </c>
      <c r="N23" s="98">
        <v>2.2386489690389899E-3</v>
      </c>
      <c r="O23" s="98">
        <v>4.0085039000602903E-2</v>
      </c>
      <c r="P23" s="98">
        <v>1.0341918302433001E-2</v>
      </c>
      <c r="Q23" s="98">
        <v>1.6791652784123302E-2</v>
      </c>
      <c r="R23" s="98">
        <v>2.58299229040261E-3</v>
      </c>
      <c r="S23" s="98">
        <v>3.6511689790185597E-2</v>
      </c>
      <c r="T23" s="98">
        <v>1.74798736486384E-2</v>
      </c>
      <c r="U23" s="98">
        <v>9.7968063516533106E-4</v>
      </c>
      <c r="V23" s="98">
        <v>5.4956097159600398E-3</v>
      </c>
      <c r="W23" s="98">
        <v>2.7731138082253402E-3</v>
      </c>
      <c r="X23" s="98">
        <v>6.2045352398778402E-4</v>
      </c>
      <c r="Y23" s="98">
        <v>3.9600557210568498E-4</v>
      </c>
      <c r="Z23" s="98">
        <v>2.0193556230550598E-3</v>
      </c>
      <c r="AA23" s="98">
        <v>1.5942222924009199E-4</v>
      </c>
      <c r="AB23" s="98">
        <v>6.1266974094382901E-4</v>
      </c>
      <c r="AC23" s="98">
        <v>7.4245270250128393E-8</v>
      </c>
      <c r="AD23" s="98">
        <v>1.2295211233107501E-2</v>
      </c>
      <c r="AE23" s="98">
        <v>2.7419630265320002E-3</v>
      </c>
      <c r="AF23" s="98">
        <v>5.07450596769022E-4</v>
      </c>
      <c r="AG23" s="98">
        <v>7.5260881770745295E-4</v>
      </c>
      <c r="AH23" s="98">
        <v>1.07686168361991E-4</v>
      </c>
      <c r="AI23" s="98">
        <v>3.8500239164456499E-4</v>
      </c>
      <c r="AJ23" s="98">
        <v>1.4411269295364799E-2</v>
      </c>
      <c r="AK23" s="98">
        <v>3.50510566440087E-7</v>
      </c>
      <c r="AL23" s="98">
        <v>1.3744511223615601E-5</v>
      </c>
      <c r="AM23" s="98">
        <v>2.1676452697653099</v>
      </c>
    </row>
    <row r="24" spans="1:39" x14ac:dyDescent="0.3">
      <c r="A24" s="98">
        <v>2.3698781590350699</v>
      </c>
      <c r="B24" s="98">
        <v>11.641395169009099</v>
      </c>
      <c r="C24" s="98">
        <v>1.11653100903092</v>
      </c>
      <c r="D24" s="98">
        <v>0.20385268493113201</v>
      </c>
      <c r="E24" s="98">
        <v>2.5517111107737901E-2</v>
      </c>
      <c r="F24" s="98">
        <v>2.7639201628851701E-4</v>
      </c>
      <c r="G24" s="98">
        <v>4.1744806995101399E-2</v>
      </c>
      <c r="H24" s="98">
        <v>6.65671490567021E-3</v>
      </c>
      <c r="I24" s="98">
        <v>1.0827771594903399</v>
      </c>
      <c r="J24" s="98">
        <v>0.335568515605697</v>
      </c>
      <c r="K24" s="98">
        <v>0.172223221221009</v>
      </c>
      <c r="L24" s="98">
        <v>1.23899423533054E-2</v>
      </c>
      <c r="M24" s="98">
        <v>4.5194063698200997E-2</v>
      </c>
      <c r="N24" s="98">
        <v>2.96111290053038E-3</v>
      </c>
      <c r="O24" s="98">
        <v>4.4579710527629199E-2</v>
      </c>
      <c r="P24" s="98">
        <v>1.05285548976593E-2</v>
      </c>
      <c r="Q24" s="98">
        <v>1.7843297026310101E-2</v>
      </c>
      <c r="R24" s="98">
        <v>2.91032248117667E-3</v>
      </c>
      <c r="S24" s="98">
        <v>4.0512702992862498E-2</v>
      </c>
      <c r="T24" s="98">
        <v>2.0167473216557999E-2</v>
      </c>
      <c r="U24" s="98">
        <v>1.4259434901606101E-3</v>
      </c>
      <c r="V24" s="98">
        <v>6.8896627733876399E-3</v>
      </c>
      <c r="W24" s="98">
        <v>3.5635876376177399E-3</v>
      </c>
      <c r="X24" s="98">
        <v>8.7527338833182696E-4</v>
      </c>
      <c r="Y24" s="98">
        <v>5.4185870998161797E-4</v>
      </c>
      <c r="Z24" s="98">
        <v>2.4130298861355899E-3</v>
      </c>
      <c r="AA24" s="98">
        <v>2.09191625772915E-4</v>
      </c>
      <c r="AB24" s="98">
        <v>7.7644293945009998E-4</v>
      </c>
      <c r="AC24" s="98">
        <v>1.2540774259218799E-7</v>
      </c>
      <c r="AD24" s="98">
        <v>1.1580823621420801E-2</v>
      </c>
      <c r="AE24" s="98">
        <v>2.6807382570176799E-3</v>
      </c>
      <c r="AF24" s="98">
        <v>4.9611992474911002E-4</v>
      </c>
      <c r="AG24" s="98">
        <v>8.0879248729001305E-4</v>
      </c>
      <c r="AH24" s="98">
        <v>1.12295946952368E-4</v>
      </c>
      <c r="AI24" s="98">
        <v>4.6773686384830702E-4</v>
      </c>
      <c r="AJ24" s="98">
        <v>2.1103050067617399E-2</v>
      </c>
      <c r="AK24" s="98">
        <v>4.2979180777359199E-7</v>
      </c>
      <c r="AL24" s="98">
        <v>1.99226791175535E-5</v>
      </c>
      <c r="AM24" s="98">
        <v>2.43361691145153</v>
      </c>
    </row>
    <row r="25" spans="1:39" x14ac:dyDescent="0.3">
      <c r="A25" s="98">
        <v>2.7630750746605401</v>
      </c>
      <c r="B25" s="98">
        <v>11.1889768761943</v>
      </c>
      <c r="C25" s="98">
        <v>1.23853624130951</v>
      </c>
      <c r="D25" s="98">
        <v>0.22694078200656101</v>
      </c>
      <c r="E25" s="98">
        <v>3.0955281038561999E-2</v>
      </c>
      <c r="F25" s="98">
        <v>4.5692371408940499E-4</v>
      </c>
      <c r="G25" s="98">
        <v>4.9129942218911302E-2</v>
      </c>
      <c r="H25" s="98">
        <v>8.31201758449116E-3</v>
      </c>
      <c r="I25" s="98">
        <v>1.0550355794591699</v>
      </c>
      <c r="J25" s="98">
        <v>0.33948861289798699</v>
      </c>
      <c r="K25" s="98">
        <v>0.18701675127796699</v>
      </c>
      <c r="L25" s="98">
        <v>1.55242177080751E-2</v>
      </c>
      <c r="M25" s="98">
        <v>5.1065785392393502E-2</v>
      </c>
      <c r="N25" s="98">
        <v>3.8370454346329198E-3</v>
      </c>
      <c r="O25" s="98">
        <v>4.9013565782352699E-2</v>
      </c>
      <c r="P25" s="98">
        <v>1.0402722783121401E-2</v>
      </c>
      <c r="Q25" s="98">
        <v>1.8868972922703699E-2</v>
      </c>
      <c r="R25" s="98">
        <v>3.2484500846821701E-3</v>
      </c>
      <c r="S25" s="98">
        <v>4.4609376711603199E-2</v>
      </c>
      <c r="T25" s="98">
        <v>2.30212263218861E-2</v>
      </c>
      <c r="U25" s="98">
        <v>2.0153134107258799E-3</v>
      </c>
      <c r="V25" s="98">
        <v>8.4810521670767008E-3</v>
      </c>
      <c r="W25" s="98">
        <v>4.48879568519621E-3</v>
      </c>
      <c r="X25" s="98">
        <v>1.1806999374259701E-3</v>
      </c>
      <c r="Y25" s="98">
        <v>7.2268417880351E-4</v>
      </c>
      <c r="Z25" s="98">
        <v>2.8466793255882399E-3</v>
      </c>
      <c r="AA25" s="98">
        <v>2.6901185972550101E-4</v>
      </c>
      <c r="AB25" s="98">
        <v>9.6613210812378702E-4</v>
      </c>
      <c r="AC25" s="98">
        <v>2.0461530816014599E-7</v>
      </c>
      <c r="AD25" s="98">
        <v>1.08625429173267E-2</v>
      </c>
      <c r="AE25" s="98">
        <v>2.61114621144667E-3</v>
      </c>
      <c r="AF25" s="98">
        <v>4.8324053260279798E-4</v>
      </c>
      <c r="AG25" s="98">
        <v>8.5693812713627895E-4</v>
      </c>
      <c r="AH25" s="98">
        <v>1.1618907316828801E-4</v>
      </c>
      <c r="AI25" s="98">
        <v>5.4767159618820396E-4</v>
      </c>
      <c r="AJ25" s="98">
        <v>2.9731632715686601E-2</v>
      </c>
      <c r="AK25" s="98">
        <v>5.1461192135509798E-7</v>
      </c>
      <c r="AL25" s="98">
        <v>2.80354054401299E-5</v>
      </c>
      <c r="AM25" s="98">
        <v>2.7116179648734402</v>
      </c>
    </row>
    <row r="26" spans="1:39" x14ac:dyDescent="0.3">
      <c r="A26" s="98">
        <v>3.2215090210877602</v>
      </c>
      <c r="B26" s="98">
        <v>10.7229031603151</v>
      </c>
      <c r="C26" s="98">
        <v>1.3598279000503899</v>
      </c>
      <c r="D26" s="98">
        <v>0.25003160480262598</v>
      </c>
      <c r="E26" s="98">
        <v>3.64723226450515E-2</v>
      </c>
      <c r="F26" s="98">
        <v>7.2789478421742503E-4</v>
      </c>
      <c r="G26" s="98">
        <v>5.6983302282094202E-2</v>
      </c>
      <c r="H26" s="98">
        <v>1.01961661969199E-2</v>
      </c>
      <c r="I26" s="98">
        <v>1.02607026740272</v>
      </c>
      <c r="J26" s="98">
        <v>0.34306933749038898</v>
      </c>
      <c r="K26" s="98">
        <v>0.201852298735824</v>
      </c>
      <c r="L26" s="98">
        <v>1.9134236486434902E-2</v>
      </c>
      <c r="M26" s="98">
        <v>5.7189927523988202E-2</v>
      </c>
      <c r="N26" s="98">
        <v>4.8857440133132498E-3</v>
      </c>
      <c r="O26" s="98">
        <v>5.3356881341122001E-2</v>
      </c>
      <c r="P26" s="98">
        <v>1.00435321845636E-2</v>
      </c>
      <c r="Q26" s="98">
        <v>1.9886610505730699E-2</v>
      </c>
      <c r="R26" s="98">
        <v>3.5988979006270302E-3</v>
      </c>
      <c r="S26" s="98">
        <v>4.8786748226600299E-2</v>
      </c>
      <c r="T26" s="98">
        <v>2.6040670853606999E-2</v>
      </c>
      <c r="U26" s="98">
        <v>2.7765651585447502E-3</v>
      </c>
      <c r="V26" s="98">
        <v>1.0272492596364501E-2</v>
      </c>
      <c r="W26" s="98">
        <v>5.5569435502302502E-3</v>
      </c>
      <c r="X26" s="98">
        <v>1.5331928432721601E-3</v>
      </c>
      <c r="Y26" s="98">
        <v>9.4276726014728203E-4</v>
      </c>
      <c r="Z26" s="98">
        <v>3.32296815467473E-3</v>
      </c>
      <c r="AA26" s="98">
        <v>3.40041926985305E-4</v>
      </c>
      <c r="AB26" s="98">
        <v>1.1830408737111E-3</v>
      </c>
      <c r="AC26" s="98">
        <v>3.2392617535350799E-7</v>
      </c>
      <c r="AD26" s="98">
        <v>1.0144630709789999E-2</v>
      </c>
      <c r="AE26" s="98">
        <v>2.53424316153055E-3</v>
      </c>
      <c r="AF26" s="98">
        <v>4.6900822050169598E-4</v>
      </c>
      <c r="AG26" s="98">
        <v>8.9662696069878905E-4</v>
      </c>
      <c r="AH26" s="98">
        <v>1.19354268080565E-4</v>
      </c>
      <c r="AI26" s="98">
        <v>6.2097134144755101E-4</v>
      </c>
      <c r="AJ26" s="98">
        <v>4.0480863591245198E-2</v>
      </c>
      <c r="AK26" s="98">
        <v>6.0341481563394897E-7</v>
      </c>
      <c r="AL26" s="98">
        <v>3.84549693518308E-5</v>
      </c>
      <c r="AM26" s="98">
        <v>3.00123705509173</v>
      </c>
    </row>
    <row r="27" spans="1:39" x14ac:dyDescent="0.3">
      <c r="A27" s="98">
        <v>3.7560037612169599</v>
      </c>
      <c r="B27" s="98">
        <v>10.2443660268261</v>
      </c>
      <c r="C27" s="98">
        <v>1.4796144527341799</v>
      </c>
      <c r="D27" s="98">
        <v>0.273013119871234</v>
      </c>
      <c r="E27" s="98">
        <v>4.1911236220506E-2</v>
      </c>
      <c r="F27" s="98">
        <v>1.12203343423367E-3</v>
      </c>
      <c r="G27" s="98">
        <v>6.5288673056309796E-2</v>
      </c>
      <c r="H27" s="98">
        <v>1.2320790726543599E-2</v>
      </c>
      <c r="I27" s="98">
        <v>0.99594544744241698</v>
      </c>
      <c r="J27" s="98">
        <v>0.34631235767037599</v>
      </c>
      <c r="K27" s="98">
        <v>0.21665228440426201</v>
      </c>
      <c r="L27" s="98">
        <v>2.32433137029413E-2</v>
      </c>
      <c r="M27" s="98">
        <v>6.3550654288657096E-2</v>
      </c>
      <c r="N27" s="98">
        <v>6.1276651567904296E-3</v>
      </c>
      <c r="O27" s="98">
        <v>5.7582804449335202E-2</v>
      </c>
      <c r="P27" s="98">
        <v>9.5458132422275698E-3</v>
      </c>
      <c r="Q27" s="98">
        <v>2.0907099729786799E-2</v>
      </c>
      <c r="R27" s="98">
        <v>3.9627830231387003E-3</v>
      </c>
      <c r="S27" s="98">
        <v>5.30304104721235E-2</v>
      </c>
      <c r="T27" s="98">
        <v>2.92255204842066E-2</v>
      </c>
      <c r="U27" s="98">
        <v>3.7409410986296498E-3</v>
      </c>
      <c r="V27" s="98">
        <v>1.22639018197433E-2</v>
      </c>
      <c r="W27" s="98">
        <v>6.7753700193718203E-3</v>
      </c>
      <c r="X27" s="98">
        <v>1.92820900623169E-3</v>
      </c>
      <c r="Y27" s="98">
        <v>1.2064469838079801E-3</v>
      </c>
      <c r="Z27" s="98">
        <v>3.84484738278176E-3</v>
      </c>
      <c r="AA27" s="98">
        <v>4.2349985925098702E-4</v>
      </c>
      <c r="AB27" s="98">
        <v>1.42829162608867E-3</v>
      </c>
      <c r="AC27" s="98">
        <v>4.9950960586917603E-7</v>
      </c>
      <c r="AD27" s="98">
        <v>9.4317091895962796E-3</v>
      </c>
      <c r="AE27" s="98">
        <v>2.4506957700237198E-3</v>
      </c>
      <c r="AF27" s="98">
        <v>4.53546381990412E-4</v>
      </c>
      <c r="AG27" s="98">
        <v>9.2753326051458205E-4</v>
      </c>
      <c r="AH27" s="98">
        <v>1.2177049299982E-4</v>
      </c>
      <c r="AI27" s="98">
        <v>6.8462116373110696E-4</v>
      </c>
      <c r="AJ27" s="98">
        <v>5.3474187678986901E-2</v>
      </c>
      <c r="AK27" s="98">
        <v>6.9471587691741703E-7</v>
      </c>
      <c r="AL27" s="98">
        <v>5.1581964780549402E-5</v>
      </c>
      <c r="AM27" s="98">
        <v>3.30202612480503</v>
      </c>
    </row>
    <row r="28" spans="1:39" x14ac:dyDescent="0.3">
      <c r="A28" s="98">
        <v>4.3791788760884698</v>
      </c>
      <c r="B28" s="98">
        <v>9.7546959883447695</v>
      </c>
      <c r="C28" s="98">
        <v>1.59711340878589</v>
      </c>
      <c r="D28" s="98">
        <v>0.29577651471379401</v>
      </c>
      <c r="E28" s="98">
        <v>4.7156688284253803E-2</v>
      </c>
      <c r="F28" s="98">
        <v>1.6797859581056101E-3</v>
      </c>
      <c r="G28" s="98">
        <v>7.4033743026778301E-2</v>
      </c>
      <c r="H28" s="98">
        <v>1.4697481327713801E-2</v>
      </c>
      <c r="I28" s="98">
        <v>0.96471378720422196</v>
      </c>
      <c r="J28" s="98">
        <v>0.34919552194945802</v>
      </c>
      <c r="K28" s="98">
        <v>0.231337177378902</v>
      </c>
      <c r="L28" s="98">
        <v>2.7871363194604301E-2</v>
      </c>
      <c r="M28" s="98">
        <v>7.0129578250950605E-2</v>
      </c>
      <c r="N28" s="98">
        <v>7.5844900024769702E-3</v>
      </c>
      <c r="O28" s="98">
        <v>6.1667362335128401E-2</v>
      </c>
      <c r="P28" s="98">
        <v>8.99686882568769E-3</v>
      </c>
      <c r="Q28" s="98">
        <v>2.1935561710937499E-2</v>
      </c>
      <c r="R28" s="98">
        <v>4.3407957601235298E-3</v>
      </c>
      <c r="S28" s="98">
        <v>5.73254032378391E-2</v>
      </c>
      <c r="T28" s="98">
        <v>3.2574879949406201E-2</v>
      </c>
      <c r="U28" s="98">
        <v>4.9421371507142901E-3</v>
      </c>
      <c r="V28" s="98">
        <v>1.44523745109076E-2</v>
      </c>
      <c r="W28" s="98">
        <v>8.1505142062370597E-3</v>
      </c>
      <c r="X28" s="98">
        <v>2.3617957953639798E-3</v>
      </c>
      <c r="Y28" s="98">
        <v>1.5181245579065201E-3</v>
      </c>
      <c r="Z28" s="98">
        <v>4.4154607008743902E-3</v>
      </c>
      <c r="AA28" s="98">
        <v>5.2066790759271501E-4</v>
      </c>
      <c r="AB28" s="98">
        <v>1.7028293493784299E-3</v>
      </c>
      <c r="AC28" s="98">
        <v>7.5276351939361402E-7</v>
      </c>
      <c r="AD28" s="98">
        <v>8.7278059481149996E-3</v>
      </c>
      <c r="AE28" s="98">
        <v>2.3610342552932199E-3</v>
      </c>
      <c r="AF28" s="98">
        <v>4.3695277708018302E-4</v>
      </c>
      <c r="AG28" s="98">
        <v>9.4955387746203197E-4</v>
      </c>
      <c r="AH28" s="98">
        <v>1.2342507832043001E-4</v>
      </c>
      <c r="AI28" s="98">
        <v>7.3685762711702199E-4</v>
      </c>
      <c r="AJ28" s="98">
        <v>6.8777519638632906E-2</v>
      </c>
      <c r="AK28" s="98">
        <v>7.8693922631200398E-7</v>
      </c>
      <c r="AL28" s="98">
        <v>6.7845683018619404E-5</v>
      </c>
      <c r="AM28" s="98">
        <v>3.6134360997074499</v>
      </c>
    </row>
    <row r="29" spans="1:39" x14ac:dyDescent="0.3">
      <c r="A29" s="98">
        <v>5.1057477169740597</v>
      </c>
      <c r="B29" s="98">
        <v>9.2553452144348807</v>
      </c>
      <c r="C29" s="98">
        <v>1.7115500075740899</v>
      </c>
      <c r="D29" s="98">
        <v>0.31821676971082102</v>
      </c>
      <c r="E29" s="98">
        <v>5.21398002612255E-2</v>
      </c>
      <c r="F29" s="98">
        <v>2.4503895420547499E-3</v>
      </c>
      <c r="G29" s="98">
        <v>8.3207460142172104E-2</v>
      </c>
      <c r="H29" s="98">
        <v>1.73374017897008E-2</v>
      </c>
      <c r="I29" s="98">
        <v>0.93241130493075497</v>
      </c>
      <c r="J29" s="98">
        <v>0.35168608104907501</v>
      </c>
      <c r="K29" s="98">
        <v>0.24582685985086999</v>
      </c>
      <c r="L29" s="98">
        <v>3.3034236545220801E-2</v>
      </c>
      <c r="M29" s="98">
        <v>7.6905662017223098E-2</v>
      </c>
      <c r="N29" s="98">
        <v>9.2790204429261305E-3</v>
      </c>
      <c r="O29" s="98">
        <v>6.55886565191236E-2</v>
      </c>
      <c r="P29" s="98">
        <v>8.4619173183655295E-3</v>
      </c>
      <c r="Q29" s="98">
        <v>2.2973611841748499E-2</v>
      </c>
      <c r="R29" s="98">
        <v>4.7334265278782001E-3</v>
      </c>
      <c r="S29" s="98">
        <v>6.1656401970151702E-2</v>
      </c>
      <c r="T29" s="98">
        <v>3.6087110621071998E-2</v>
      </c>
      <c r="U29" s="98">
        <v>6.4160548524510403E-3</v>
      </c>
      <c r="V29" s="98">
        <v>1.6832040958557701E-2</v>
      </c>
      <c r="W29" s="98">
        <v>9.6877256605518002E-3</v>
      </c>
      <c r="X29" s="98">
        <v>2.8316386390164999E-3</v>
      </c>
      <c r="Y29" s="98">
        <v>1.88221782452689E-3</v>
      </c>
      <c r="Z29" s="98">
        <v>5.0381147966196303E-3</v>
      </c>
      <c r="AA29" s="98">
        <v>6.3288926734812203E-4</v>
      </c>
      <c r="AB29" s="98">
        <v>2.0074033993422299E-3</v>
      </c>
      <c r="AC29" s="98">
        <v>1.1117314622111701E-6</v>
      </c>
      <c r="AD29" s="98">
        <v>8.0368543454037399E-3</v>
      </c>
      <c r="AE29" s="98">
        <v>2.2657613905506199E-3</v>
      </c>
      <c r="AF29" s="98">
        <v>4.1932073939495698E-4</v>
      </c>
      <c r="AG29" s="98">
        <v>9.6269310857708898E-4</v>
      </c>
      <c r="AH29" s="98">
        <v>1.2431073973520699E-4</v>
      </c>
      <c r="AI29" s="98">
        <v>7.7697409412635302E-4</v>
      </c>
      <c r="AJ29" s="98">
        <v>8.64057987143068E-2</v>
      </c>
      <c r="AK29" s="98">
        <v>8.7856617587753E-7</v>
      </c>
      <c r="AL29" s="98">
        <v>8.7701727165321398E-5</v>
      </c>
      <c r="AM29" s="98">
        <v>3.9348292991168399</v>
      </c>
    </row>
    <row r="30" spans="1:39" x14ac:dyDescent="0.3">
      <c r="A30" s="98">
        <v>5.9528647920111002</v>
      </c>
      <c r="B30" s="98">
        <v>8.7479431705048505</v>
      </c>
      <c r="C30" s="98">
        <v>1.82213623598861</v>
      </c>
      <c r="D30" s="98">
        <v>0.340227567582295</v>
      </c>
      <c r="E30" s="98">
        <v>5.6830897850892702E-2</v>
      </c>
      <c r="F30" s="98">
        <v>3.49315928095454E-3</v>
      </c>
      <c r="G30" s="98">
        <v>9.2797252877079198E-2</v>
      </c>
      <c r="H30" s="98">
        <v>2.0250951474796702E-2</v>
      </c>
      <c r="I30" s="98">
        <v>0.8990599599879</v>
      </c>
      <c r="J30" s="98">
        <v>0.353745354695709</v>
      </c>
      <c r="K30" s="98">
        <v>0.26003902374413201</v>
      </c>
      <c r="L30" s="98">
        <v>3.8742931285877899E-2</v>
      </c>
      <c r="M30" s="98">
        <v>8.3854427305701806E-2</v>
      </c>
      <c r="N30" s="98">
        <v>1.12350920017503E-2</v>
      </c>
      <c r="O30" s="98">
        <v>6.9326893396934305E-2</v>
      </c>
      <c r="P30" s="98">
        <v>7.9782051010660101E-3</v>
      </c>
      <c r="Q30" s="98">
        <v>2.4020777022869099E-2</v>
      </c>
      <c r="R30" s="98">
        <v>5.1410577813656303E-3</v>
      </c>
      <c r="S30" s="98">
        <v>6.6007134592039496E-2</v>
      </c>
      <c r="T30" s="98">
        <v>3.9759359768937803E-2</v>
      </c>
      <c r="U30" s="98">
        <v>8.2005701850540891E-3</v>
      </c>
      <c r="V30" s="98">
        <v>1.9393905528285099E-2</v>
      </c>
      <c r="W30" s="98">
        <v>1.1391031799998E-2</v>
      </c>
      <c r="X30" s="98">
        <v>3.3374301996239399E-3</v>
      </c>
      <c r="Y30" s="98">
        <v>2.3031005893288099E-3</v>
      </c>
      <c r="Z30" s="98">
        <v>5.7162296173014398E-3</v>
      </c>
      <c r="AA30" s="98">
        <v>7.6156719561854501E-4</v>
      </c>
      <c r="AB30" s="98">
        <v>2.3425437873013798E-3</v>
      </c>
      <c r="AC30" s="98">
        <v>1.6128596009112701E-6</v>
      </c>
      <c r="AD30" s="98">
        <v>7.3622376135998703E-3</v>
      </c>
      <c r="AE30" s="98">
        <v>2.16538849185505E-3</v>
      </c>
      <c r="AF30" s="98">
        <v>4.0074497771249899E-4</v>
      </c>
      <c r="AG30" s="98">
        <v>9.6711268768998103E-4</v>
      </c>
      <c r="AH30" s="98">
        <v>1.2443105223983999E-4</v>
      </c>
      <c r="AI30" s="98">
        <v>8.0513972733480097E-4</v>
      </c>
      <c r="AJ30" s="98">
        <v>0.106332781511738</v>
      </c>
      <c r="AK30" s="98">
        <v>9.6810301587055391E-7</v>
      </c>
      <c r="AL30" s="98">
        <v>1.1163070686845099E-4</v>
      </c>
      <c r="AM30" s="98">
        <v>4.2654510889880104</v>
      </c>
    </row>
    <row r="31" spans="1:39" x14ac:dyDescent="0.3">
      <c r="A31" s="98">
        <v>6.9405307892821302</v>
      </c>
      <c r="B31" s="98">
        <v>8.2343104200333901</v>
      </c>
      <c r="C31" s="98">
        <v>1.9280678000054901</v>
      </c>
      <c r="D31" s="98">
        <v>0.361700467766009</v>
      </c>
      <c r="E31" s="98">
        <v>6.12259572644612E-2</v>
      </c>
      <c r="F31" s="98">
        <v>4.8790206426247698E-3</v>
      </c>
      <c r="G31" s="98">
        <v>0.102787252991172</v>
      </c>
      <c r="H31" s="98">
        <v>2.3447454001330199E-2</v>
      </c>
      <c r="I31" s="98">
        <v>0.86467228837076904</v>
      </c>
      <c r="J31" s="98">
        <v>0.35533122400654898</v>
      </c>
      <c r="K31" s="98">
        <v>0.27388933517710201</v>
      </c>
      <c r="L31" s="98">
        <v>4.50025725652278E-2</v>
      </c>
      <c r="M31" s="98">
        <v>9.0947687121882795E-2</v>
      </c>
      <c r="N31" s="98">
        <v>1.3477402506347999E-2</v>
      </c>
      <c r="O31" s="98">
        <v>7.2863770963884397E-2</v>
      </c>
      <c r="P31" s="98">
        <v>7.5583248940565501E-3</v>
      </c>
      <c r="Q31" s="98">
        <v>2.50754576324425E-2</v>
      </c>
      <c r="R31" s="98">
        <v>5.5640286892919104E-3</v>
      </c>
      <c r="S31" s="98">
        <v>7.0360195693107502E-2</v>
      </c>
      <c r="T31" s="98">
        <v>4.3587256606616699E-2</v>
      </c>
      <c r="U31" s="98">
        <v>1.0335153722423201E-2</v>
      </c>
      <c r="V31" s="98">
        <v>2.21256812355402E-2</v>
      </c>
      <c r="W31" s="98">
        <v>1.32628247033224E-2</v>
      </c>
      <c r="X31" s="98">
        <v>3.8805683349208298E-3</v>
      </c>
      <c r="Y31" s="98">
        <v>2.78500055666084E-3</v>
      </c>
      <c r="Z31" s="98">
        <v>6.4533021760528201E-3</v>
      </c>
      <c r="AA31" s="98">
        <v>9.0816124378000095E-4</v>
      </c>
      <c r="AB31" s="98">
        <v>2.70852889842454E-3</v>
      </c>
      <c r="AC31" s="98">
        <v>2.3031846718755401E-6</v>
      </c>
      <c r="AD31" s="98">
        <v>6.7071377702532598E-3</v>
      </c>
      <c r="AE31" s="98">
        <v>2.0604622642583798E-3</v>
      </c>
      <c r="AF31" s="98">
        <v>3.81326439163604E-4</v>
      </c>
      <c r="AG31" s="98">
        <v>9.6307420688505701E-4</v>
      </c>
      <c r="AH31" s="98">
        <v>1.23797385561859E-4</v>
      </c>
      <c r="AI31" s="98">
        <v>8.2200491265522503E-4</v>
      </c>
      <c r="AJ31" s="98">
        <v>0.12849802295073401</v>
      </c>
      <c r="AK31" s="98">
        <v>1.0541454020312701E-6</v>
      </c>
      <c r="AL31" s="98">
        <v>1.40135797831301E-4</v>
      </c>
      <c r="AM31" s="98">
        <v>4.6044204177826202</v>
      </c>
    </row>
    <row r="32" spans="1:39" x14ac:dyDescent="0.3">
      <c r="A32" s="98">
        <v>8.0920647990560592</v>
      </c>
      <c r="B32" s="98">
        <v>7.7165276378116996</v>
      </c>
      <c r="C32" s="98">
        <v>2.02850667905413</v>
      </c>
      <c r="D32" s="98">
        <v>0.38251992909158899</v>
      </c>
      <c r="E32" s="98">
        <v>6.5331240542066002E-2</v>
      </c>
      <c r="F32" s="98">
        <v>6.6924033872605903E-3</v>
      </c>
      <c r="G32" s="98">
        <v>0.113156089259764</v>
      </c>
      <c r="H32" s="98">
        <v>2.69347072214558E-2</v>
      </c>
      <c r="I32" s="98">
        <v>0.82926367008443003</v>
      </c>
      <c r="J32" s="98">
        <v>0.35639918570985901</v>
      </c>
      <c r="K32" s="98">
        <v>0.28728962171672801</v>
      </c>
      <c r="L32" s="98">
        <v>5.1811046896944601E-2</v>
      </c>
      <c r="M32" s="98">
        <v>9.8152627944721099E-2</v>
      </c>
      <c r="N32" s="98">
        <v>1.60312711682528E-2</v>
      </c>
      <c r="O32" s="98">
        <v>7.6182571858728898E-2</v>
      </c>
      <c r="P32" s="98">
        <v>7.1985698395767104E-3</v>
      </c>
      <c r="Q32" s="98">
        <v>2.61353710662303E-2</v>
      </c>
      <c r="R32" s="98">
        <v>6.0026434778377002E-3</v>
      </c>
      <c r="S32" s="98">
        <v>7.4696342370027397E-2</v>
      </c>
      <c r="T32" s="98">
        <v>4.7564281408610701E-2</v>
      </c>
      <c r="U32" s="98">
        <v>1.2860408930749899E-2</v>
      </c>
      <c r="V32" s="98">
        <v>2.50115029865061E-2</v>
      </c>
      <c r="W32" s="98">
        <v>1.5303437213041299E-2</v>
      </c>
      <c r="X32" s="98">
        <v>4.4634550029351398E-3</v>
      </c>
      <c r="Y32" s="98">
        <v>3.3318667290140099E-3</v>
      </c>
      <c r="Z32" s="98">
        <v>7.2528314317113702E-3</v>
      </c>
      <c r="AA32" s="98">
        <v>1.07418072720528E-3</v>
      </c>
      <c r="AB32" s="98">
        <v>3.1053349888386299E-3</v>
      </c>
      <c r="AC32" s="98">
        <v>3.24309376582209E-6</v>
      </c>
      <c r="AD32" s="98">
        <v>6.0741112564797204E-3</v>
      </c>
      <c r="AE32" s="98">
        <v>1.95155628373047E-3</v>
      </c>
      <c r="AF32" s="98">
        <v>3.6117140517765703E-4</v>
      </c>
      <c r="AG32" s="98">
        <v>9.50993775580626E-4</v>
      </c>
      <c r="AH32" s="98">
        <v>1.22432766403612E-4</v>
      </c>
      <c r="AI32" s="98">
        <v>8.2848278167729002E-4</v>
      </c>
      <c r="AJ32" s="98">
        <v>0.15280898644805099</v>
      </c>
      <c r="AK32" s="98">
        <v>1.1353673020786101E-6</v>
      </c>
      <c r="AL32" s="98">
        <v>1.7374026047026699E-4</v>
      </c>
      <c r="AM32" s="98">
        <v>4.9506832306874902</v>
      </c>
    </row>
    <row r="33" spans="1:39" x14ac:dyDescent="0.3">
      <c r="A33" s="98">
        <v>9.4346548844998406</v>
      </c>
      <c r="B33" s="98">
        <v>7.19673437572329</v>
      </c>
      <c r="C33" s="98">
        <v>2.1226501535084399</v>
      </c>
      <c r="D33" s="98">
        <v>0.40257412635440798</v>
      </c>
      <c r="E33" s="98">
        <v>6.9155332424294599E-2</v>
      </c>
      <c r="F33" s="98">
        <v>9.0329810488376794E-3</v>
      </c>
      <c r="G33" s="98">
        <v>0.123878854527409</v>
      </c>
      <c r="H33" s="98">
        <v>3.0719066062771801E-2</v>
      </c>
      <c r="I33" s="98">
        <v>0.79285159141759398</v>
      </c>
      <c r="J33" s="98">
        <v>0.35690571410485999</v>
      </c>
      <c r="K33" s="98">
        <v>0.30015592348917702</v>
      </c>
      <c r="L33" s="98">
        <v>5.9158502654033301E-2</v>
      </c>
      <c r="M33" s="98">
        <v>0.10543435668906601</v>
      </c>
      <c r="N33" s="98">
        <v>1.89223659199029E-2</v>
      </c>
      <c r="O33" s="98">
        <v>7.9270958374169295E-2</v>
      </c>
      <c r="P33" s="98">
        <v>6.8875695461515299E-3</v>
      </c>
      <c r="Q33" s="98">
        <v>2.7198323925251799E-2</v>
      </c>
      <c r="R33" s="98">
        <v>6.4573465363712799E-3</v>
      </c>
      <c r="S33" s="98">
        <v>7.8996345505804699E-2</v>
      </c>
      <c r="T33" s="98">
        <v>5.1682617796036598E-2</v>
      </c>
      <c r="U33" s="98">
        <v>1.58171599004714E-2</v>
      </c>
      <c r="V33" s="98">
        <v>2.8032392544052001E-2</v>
      </c>
      <c r="W33" s="98">
        <v>1.7510946247470599E-2</v>
      </c>
      <c r="X33" s="98">
        <v>5.0889129879864497E-3</v>
      </c>
      <c r="Y33" s="98">
        <v>3.9472028229630297E-3</v>
      </c>
      <c r="Z33" s="98">
        <v>8.1184038960772295E-3</v>
      </c>
      <c r="AA33" s="98">
        <v>1.2611827471293599E-3</v>
      </c>
      <c r="AB33" s="98">
        <v>3.5326478321576898E-3</v>
      </c>
      <c r="AC33" s="98">
        <v>4.5096217222861699E-6</v>
      </c>
      <c r="AD33" s="98">
        <v>5.4642280672678803E-3</v>
      </c>
      <c r="AE33" s="98">
        <v>1.83920587359847E-3</v>
      </c>
      <c r="AF33" s="98">
        <v>3.40378856479933E-4</v>
      </c>
      <c r="AG33" s="98">
        <v>9.3149812978254702E-4</v>
      </c>
      <c r="AH33" s="98">
        <v>1.20376171738782E-4</v>
      </c>
      <c r="AI33" s="98">
        <v>8.2565863112663397E-4</v>
      </c>
      <c r="AJ33" s="98">
        <v>0.17914013762267</v>
      </c>
      <c r="AK33" s="98">
        <v>1.2106021037615301E-6</v>
      </c>
      <c r="AL33" s="98">
        <v>2.12980770473133E-4</v>
      </c>
      <c r="AM33" s="98">
        <v>5.3031200411221899</v>
      </c>
    </row>
    <row r="34" spans="1:39" x14ac:dyDescent="0.3">
      <c r="A34" s="98">
        <v>11</v>
      </c>
      <c r="B34" s="98">
        <v>6.6769755757910101</v>
      </c>
      <c r="C34" s="98">
        <v>2.2097730883049702</v>
      </c>
      <c r="D34" s="98">
        <v>0.42176849877948602</v>
      </c>
      <c r="E34" s="98">
        <v>7.2704021773564498E-2</v>
      </c>
      <c r="F34" s="98">
        <v>1.20173304533137E-2</v>
      </c>
      <c r="G34" s="98">
        <v>0.134929568038129</v>
      </c>
      <c r="H34" s="98">
        <v>3.4806071760582702E-2</v>
      </c>
      <c r="I34" s="98">
        <v>0.75543767940464601</v>
      </c>
      <c r="J34" s="98">
        <v>0.356816630137888</v>
      </c>
      <c r="K34" s="98">
        <v>0.31241471487952899</v>
      </c>
      <c r="L34" s="98">
        <v>6.7027456463225804E-2</v>
      </c>
      <c r="M34" s="98">
        <v>0.11275824111084599</v>
      </c>
      <c r="N34" s="98">
        <v>2.2176673961837701E-2</v>
      </c>
      <c r="O34" s="98">
        <v>8.21169612221615E-2</v>
      </c>
      <c r="P34" s="98">
        <v>6.6141171783494698E-3</v>
      </c>
      <c r="Q34" s="98">
        <v>2.8262370821217901E-2</v>
      </c>
      <c r="R34" s="98">
        <v>6.92862084957401E-3</v>
      </c>
      <c r="S34" s="98">
        <v>8.3242512264602095E-2</v>
      </c>
      <c r="T34" s="98">
        <v>5.5933975750379603E-2</v>
      </c>
      <c r="U34" s="98">
        <v>1.9245801179435699E-2</v>
      </c>
      <c r="V34" s="98">
        <v>3.1166978462692899E-2</v>
      </c>
      <c r="W34" s="98">
        <v>1.9881116814142698E-2</v>
      </c>
      <c r="X34" s="98">
        <v>5.75977566935731E-3</v>
      </c>
      <c r="Y34" s="98">
        <v>4.6338780287352201E-3</v>
      </c>
      <c r="Z34" s="98">
        <v>9.0538132516459497E-3</v>
      </c>
      <c r="AA34" s="98">
        <v>1.4707878492301999E-3</v>
      </c>
      <c r="AB34" s="98">
        <v>3.9899055688060103E-3</v>
      </c>
      <c r="AC34" s="98">
        <v>6.2002222361647997E-6</v>
      </c>
      <c r="AD34" s="98">
        <v>4.8809987694485796E-3</v>
      </c>
      <c r="AE34" s="98">
        <v>1.72415057500905E-3</v>
      </c>
      <c r="AF34" s="98">
        <v>3.1908574443070999E-4</v>
      </c>
      <c r="AG34" s="98">
        <v>9.0499218987705003E-4</v>
      </c>
      <c r="AH34" s="98">
        <v>1.17656935236743E-4</v>
      </c>
      <c r="AI34" s="98">
        <v>8.1418599030726798E-4</v>
      </c>
      <c r="AJ34" s="98">
        <v>0.207333316207337</v>
      </c>
      <c r="AK34" s="98">
        <v>1.2790161298619999E-6</v>
      </c>
      <c r="AL34" s="98">
        <v>2.5840524268188697E-4</v>
      </c>
      <c r="AM34" s="98">
        <v>5.6606404511984296</v>
      </c>
    </row>
    <row r="35" spans="1:39" x14ac:dyDescent="0.3">
      <c r="A35" s="98">
        <v>12.825058412978199</v>
      </c>
      <c r="B35" s="98">
        <v>6.1598417118895403</v>
      </c>
      <c r="C35" s="98">
        <v>2.28904859002848</v>
      </c>
      <c r="D35" s="98">
        <v>0.439984358643563</v>
      </c>
      <c r="E35" s="98">
        <v>7.5971968267604398E-2</v>
      </c>
      <c r="F35" s="98">
        <v>1.5782608164788301E-2</v>
      </c>
      <c r="G35" s="98">
        <v>0.146270560772264</v>
      </c>
      <c r="H35" s="98">
        <v>3.91984135196317E-2</v>
      </c>
      <c r="I35" s="98">
        <v>0.71706544989268595</v>
      </c>
      <c r="J35" s="98">
        <v>0.35609604743710199</v>
      </c>
      <c r="K35" s="98">
        <v>0.32398032361725898</v>
      </c>
      <c r="L35" s="98">
        <v>7.5388763301549699E-2</v>
      </c>
      <c r="M35" s="98">
        <v>0.120081732826086</v>
      </c>
      <c r="N35" s="98">
        <v>2.5819910024640701E-2</v>
      </c>
      <c r="O35" s="98">
        <v>8.4708380066419606E-2</v>
      </c>
      <c r="P35" s="98">
        <v>6.3704040359711797E-3</v>
      </c>
      <c r="Q35" s="98">
        <v>2.9324856479466099E-2</v>
      </c>
      <c r="R35" s="98">
        <v>7.4167864565848601E-3</v>
      </c>
      <c r="S35" s="98">
        <v>8.7412652473340902E-2</v>
      </c>
      <c r="T35" s="98">
        <v>6.0305658788111699E-2</v>
      </c>
      <c r="U35" s="98">
        <v>2.31858481218154E-2</v>
      </c>
      <c r="V35" s="98">
        <v>3.4389592360245899E-2</v>
      </c>
      <c r="W35" s="98">
        <v>2.2406161553675301E-2</v>
      </c>
      <c r="X35" s="98">
        <v>6.4784093816478202E-3</v>
      </c>
      <c r="Y35" s="98">
        <v>5.3939045451224799E-3</v>
      </c>
      <c r="Z35" s="98">
        <v>1.00625979586502E-2</v>
      </c>
      <c r="AA35" s="98">
        <v>1.7046516805345501E-3</v>
      </c>
      <c r="AB35" s="98">
        <v>4.4760800118214504E-3</v>
      </c>
      <c r="AC35" s="98">
        <v>8.4384632839495397E-6</v>
      </c>
      <c r="AD35" s="98">
        <v>4.3268554835313297E-3</v>
      </c>
      <c r="AE35" s="98">
        <v>1.6071686642377401E-3</v>
      </c>
      <c r="AF35" s="98">
        <v>2.9743612827702701E-4</v>
      </c>
      <c r="AG35" s="98">
        <v>8.7209915169830603E-4</v>
      </c>
      <c r="AH35" s="98">
        <v>1.14320372704326E-4</v>
      </c>
      <c r="AI35" s="98">
        <v>7.9483239187056604E-4</v>
      </c>
      <c r="AJ35" s="98">
        <v>0.23718186005932801</v>
      </c>
      <c r="AK35" s="98">
        <v>1.3397740080780501E-6</v>
      </c>
      <c r="AL35" s="98">
        <v>3.1057390421037299E-4</v>
      </c>
      <c r="AM35" s="98">
        <v>6.0217857378519097</v>
      </c>
    </row>
    <row r="36" spans="1:39" x14ac:dyDescent="0.3">
      <c r="A36" s="98">
        <v>14.9529202996638</v>
      </c>
      <c r="B36" s="98">
        <v>5.6481394682483703</v>
      </c>
      <c r="C36" s="98">
        <v>2.35966363785891</v>
      </c>
      <c r="D36" s="98">
        <v>0.45710134653800899</v>
      </c>
      <c r="E36" s="98">
        <v>7.8949992010614395E-2</v>
      </c>
      <c r="F36" s="98">
        <v>2.0488533244648499E-2</v>
      </c>
      <c r="G36" s="98">
        <v>0.157856797952343</v>
      </c>
      <c r="H36" s="98">
        <v>4.3896283596409499E-2</v>
      </c>
      <c r="I36" s="98">
        <v>0.677799932471148</v>
      </c>
      <c r="J36" s="98">
        <v>0.35471302150230799</v>
      </c>
      <c r="K36" s="98">
        <v>0.33476825668455201</v>
      </c>
      <c r="L36" s="98">
        <v>8.4201175206098794E-2</v>
      </c>
      <c r="M36" s="98">
        <v>0.12735870197056601</v>
      </c>
      <c r="N36" s="98">
        <v>2.9877093223638702E-2</v>
      </c>
      <c r="O36" s="98">
        <v>8.7034547121272302E-2</v>
      </c>
      <c r="P36" s="98">
        <v>6.15169168260442E-3</v>
      </c>
      <c r="Q36" s="98">
        <v>3.0383044664147402E-2</v>
      </c>
      <c r="R36" s="98">
        <v>7.9221348192671896E-3</v>
      </c>
      <c r="S36" s="98">
        <v>9.14833389746708E-2</v>
      </c>
      <c r="T36" s="98">
        <v>6.4782105724401295E-2</v>
      </c>
      <c r="U36" s="98">
        <v>2.7674427320934301E-2</v>
      </c>
      <c r="V36" s="98">
        <v>3.7671047993918801E-2</v>
      </c>
      <c r="W36" s="98">
        <v>2.5074471274238602E-2</v>
      </c>
      <c r="X36" s="98">
        <v>7.2469220540984404E-3</v>
      </c>
      <c r="Y36" s="98">
        <v>6.2281178455219702E-3</v>
      </c>
      <c r="Z36" s="98">
        <v>1.11481980212703E-2</v>
      </c>
      <c r="AA36" s="98">
        <v>1.96446410819183E-3</v>
      </c>
      <c r="AB36" s="98">
        <v>4.98969847064939E-3</v>
      </c>
      <c r="AC36" s="98">
        <v>1.1380202218774099E-5</v>
      </c>
      <c r="AD36" s="98">
        <v>3.80409602148889E-3</v>
      </c>
      <c r="AE36" s="98">
        <v>1.48910953265969E-3</v>
      </c>
      <c r="AF36" s="98">
        <v>2.7558711281094699E-4</v>
      </c>
      <c r="AG36" s="98">
        <v>8.3351768407863497E-4</v>
      </c>
      <c r="AH36" s="98">
        <v>1.10420158558337E-4</v>
      </c>
      <c r="AI36" s="98">
        <v>7.6837149169773505E-4</v>
      </c>
      <c r="AJ36" s="98">
        <v>0.26842339333182902</v>
      </c>
      <c r="AK36" s="98">
        <v>1.39221594661414E-6</v>
      </c>
      <c r="AL36" s="98">
        <v>3.7004931148659401E-4</v>
      </c>
      <c r="AM36" s="98">
        <v>6.3849126337932196</v>
      </c>
    </row>
    <row r="37" spans="1:39" x14ac:dyDescent="0.3">
      <c r="A37" s="98">
        <v>17.433825117072299</v>
      </c>
      <c r="B37" s="98">
        <v>5.14486879259589</v>
      </c>
      <c r="C37" s="98">
        <v>2.42083921396347</v>
      </c>
      <c r="D37" s="98">
        <v>0.47299960615590603</v>
      </c>
      <c r="E37" s="98">
        <v>8.1627928815384998E-2</v>
      </c>
      <c r="F37" s="98">
        <v>2.631984095734E-2</v>
      </c>
      <c r="G37" s="98">
        <v>0.169635711591237</v>
      </c>
      <c r="H37" s="98">
        <v>4.8897088925312401E-2</v>
      </c>
      <c r="I37" s="98">
        <v>0.637730268682691</v>
      </c>
      <c r="J37" s="98">
        <v>0.352642880179105</v>
      </c>
      <c r="K37" s="98">
        <v>0.34469677312893099</v>
      </c>
      <c r="L37" s="98">
        <v>9.3410026115568895E-2</v>
      </c>
      <c r="M37" s="98">
        <v>0.13453995369793401</v>
      </c>
      <c r="N37" s="98">
        <v>3.4372062831410102E-2</v>
      </c>
      <c r="O37" s="98">
        <v>8.9086731213055506E-2</v>
      </c>
      <c r="P37" s="98">
        <v>5.9552467505631802E-3</v>
      </c>
      <c r="Q37" s="98">
        <v>3.14341358203757E-2</v>
      </c>
      <c r="R37" s="98">
        <v>8.4449363047576203E-3</v>
      </c>
      <c r="S37" s="98">
        <v>9.5430215194162699E-2</v>
      </c>
      <c r="T37" s="98">
        <v>6.9344728590371205E-2</v>
      </c>
      <c r="U37" s="98">
        <v>3.2744869509936297E-2</v>
      </c>
      <c r="V37" s="98">
        <v>4.0978786147371798E-2</v>
      </c>
      <c r="W37" s="98">
        <v>2.7870065875598898E-2</v>
      </c>
      <c r="X37" s="98">
        <v>8.0672634994628702E-3</v>
      </c>
      <c r="Y37" s="98">
        <v>7.1358388605572603E-3</v>
      </c>
      <c r="Z37" s="98">
        <v>1.23139249117926E-2</v>
      </c>
      <c r="AA37" s="98">
        <v>2.25194466709533E-3</v>
      </c>
      <c r="AB37" s="98">
        <v>5.5288028725123204E-3</v>
      </c>
      <c r="AC37" s="98">
        <v>1.52214491774176E-5</v>
      </c>
      <c r="AD37" s="98">
        <v>3.3148209035320799E-3</v>
      </c>
      <c r="AE37" s="98">
        <v>1.37088148742249E-3</v>
      </c>
      <c r="AF37" s="98">
        <v>2.53706830634476E-4</v>
      </c>
      <c r="AG37" s="98">
        <v>7.9001427851792998E-4</v>
      </c>
      <c r="AH37" s="98">
        <v>1.0601798985451601E-4</v>
      </c>
      <c r="AI37" s="98">
        <v>7.3561959366884896E-4</v>
      </c>
      <c r="AJ37" s="98">
        <v>0.30073229613879598</v>
      </c>
      <c r="AK37" s="98">
        <v>1.43587594506826E-6</v>
      </c>
      <c r="AL37" s="98">
        <v>4.37389434032674E-4</v>
      </c>
      <c r="AM37" s="98">
        <v>6.7481965845958802</v>
      </c>
    </row>
    <row r="38" spans="1:39" x14ac:dyDescent="0.3">
      <c r="A38" s="98">
        <v>20.326347771645199</v>
      </c>
      <c r="B38" s="98">
        <v>4.6531580389347198</v>
      </c>
      <c r="C38" s="98">
        <v>2.4718639998284</v>
      </c>
      <c r="D38" s="98">
        <v>0.48756205707438499</v>
      </c>
      <c r="E38" s="98">
        <v>8.3997191671390095E-2</v>
      </c>
      <c r="F38" s="98">
        <v>3.34884951101014E-2</v>
      </c>
      <c r="G38" s="98">
        <v>0.18154752628521001</v>
      </c>
      <c r="H38" s="98">
        <v>5.4195209983787303E-2</v>
      </c>
      <c r="I38" s="98">
        <v>0.59698141871501098</v>
      </c>
      <c r="J38" s="98">
        <v>0.349864750592697</v>
      </c>
      <c r="K38" s="98">
        <v>0.35368911350842902</v>
      </c>
      <c r="L38" s="98">
        <v>0.102946323562497</v>
      </c>
      <c r="M38" s="98">
        <v>0.14157428085604401</v>
      </c>
      <c r="N38" s="98">
        <v>3.9326981194121403E-2</v>
      </c>
      <c r="O38" s="98">
        <v>9.0860215802453903E-2</v>
      </c>
      <c r="P38" s="98">
        <v>5.7789716408956698E-3</v>
      </c>
      <c r="Q38" s="98">
        <v>3.2475473148771902E-2</v>
      </c>
      <c r="R38" s="98">
        <v>8.9855677142631797E-3</v>
      </c>
      <c r="S38" s="98">
        <v>9.9228560933283194E-2</v>
      </c>
      <c r="T38" s="98">
        <v>7.3971955231713904E-2</v>
      </c>
      <c r="U38" s="98">
        <v>3.8425020513077099E-2</v>
      </c>
      <c r="V38" s="98">
        <v>4.4277312830719E-2</v>
      </c>
      <c r="W38" s="98">
        <v>3.0772130784053199E-2</v>
      </c>
      <c r="X38" s="98">
        <v>8.9413078522293191E-3</v>
      </c>
      <c r="Y38" s="98">
        <v>8.1145215132578993E-3</v>
      </c>
      <c r="Z38" s="98">
        <v>1.35629583669721E-2</v>
      </c>
      <c r="AA38" s="98">
        <v>2.5688424860065601E-3</v>
      </c>
      <c r="AB38" s="98">
        <v>6.09092941204014E-3</v>
      </c>
      <c r="AC38" s="98">
        <v>2.0208112973374E-5</v>
      </c>
      <c r="AD38" s="98">
        <v>2.8586345453579399E-3</v>
      </c>
      <c r="AE38" s="98">
        <v>1.2531863128816801E-3</v>
      </c>
      <c r="AF38" s="98">
        <v>2.3192514788637799E-4</v>
      </c>
      <c r="AG38" s="98">
        <v>7.4250177026214E-4</v>
      </c>
      <c r="AH38" s="98">
        <v>1.0118527975990901E-4</v>
      </c>
      <c r="AI38" s="98">
        <v>6.9759084779203503E-4</v>
      </c>
      <c r="AJ38" s="98">
        <v>0.333714443297777</v>
      </c>
      <c r="AK38" s="98">
        <v>1.4705226556258001E-6</v>
      </c>
      <c r="AL38" s="98">
        <v>5.1313946329723502E-4</v>
      </c>
      <c r="AM38" s="98">
        <v>7.1096552851270296</v>
      </c>
    </row>
    <row r="39" spans="1:39" x14ac:dyDescent="0.3">
      <c r="A39" s="98">
        <v>23.698781590350698</v>
      </c>
      <c r="B39" s="98">
        <v>4.1755782269043102</v>
      </c>
      <c r="C39" s="98">
        <v>2.51226179276824</v>
      </c>
      <c r="D39" s="98">
        <v>0.50071585327470403</v>
      </c>
      <c r="E39" s="98">
        <v>8.6057097940789307E-2</v>
      </c>
      <c r="F39" s="98">
        <v>4.2233232375629703E-2</v>
      </c>
      <c r="G39" s="98">
        <v>0.19353893269410899</v>
      </c>
      <c r="H39" s="98">
        <v>5.9785830611554E-2</v>
      </c>
      <c r="I39" s="98">
        <v>0.55560206742278395</v>
      </c>
      <c r="J39" s="98">
        <v>0.34638938651685802</v>
      </c>
      <c r="K39" s="98">
        <v>0.36169632728159501</v>
      </c>
      <c r="L39" s="98">
        <v>0.112732896216256</v>
      </c>
      <c r="M39" s="98">
        <v>0.14841898972416001</v>
      </c>
      <c r="N39" s="98">
        <v>4.4763775943916999E-2</v>
      </c>
      <c r="O39" s="98">
        <v>9.2354429051078699E-2</v>
      </c>
      <c r="P39" s="98">
        <v>5.6217145679664402E-3</v>
      </c>
      <c r="Q39" s="98">
        <v>3.3505323201214902E-2</v>
      </c>
      <c r="R39" s="98">
        <v>9.5444072603106892E-3</v>
      </c>
      <c r="S39" s="98">
        <v>0.10286000191511301</v>
      </c>
      <c r="T39" s="98">
        <v>7.8643990919494894E-2</v>
      </c>
      <c r="U39" s="98">
        <v>4.4736958027906101E-2</v>
      </c>
      <c r="V39" s="98">
        <v>4.7532035503998399E-2</v>
      </c>
      <c r="W39" s="98">
        <v>3.3756418044756001E-2</v>
      </c>
      <c r="X39" s="98">
        <v>9.8713963846869899E-3</v>
      </c>
      <c r="Y39" s="98">
        <v>9.1594837130788195E-3</v>
      </c>
      <c r="Z39" s="98">
        <v>1.48991338926739E-2</v>
      </c>
      <c r="AA39" s="98">
        <v>2.9170637628255099E-3</v>
      </c>
      <c r="AB39" s="98">
        <v>6.6734699530156599E-3</v>
      </c>
      <c r="AC39" s="98">
        <v>2.6645117666864899E-5</v>
      </c>
      <c r="AD39" s="98">
        <v>2.43940027289722E-3</v>
      </c>
      <c r="AE39" s="98">
        <v>1.1372099914635E-3</v>
      </c>
      <c r="AF39" s="98">
        <v>2.1046161446671999E-4</v>
      </c>
      <c r="AG39" s="98">
        <v>6.91653275461099E-4</v>
      </c>
      <c r="AH39" s="98">
        <v>9.5992267179459206E-5</v>
      </c>
      <c r="AI39" s="98">
        <v>6.5496230279696299E-4</v>
      </c>
      <c r="AJ39" s="98">
        <v>0.36692911358637098</v>
      </c>
      <c r="AK39" s="98">
        <v>1.4962285784076201E-6</v>
      </c>
      <c r="AL39" s="98">
        <v>5.9784250911464E-4</v>
      </c>
      <c r="AM39" s="98">
        <v>7.4676163975760401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AAC9-5FF2-4A39-9DE7-AA2B4AD2AE08}">
  <dimension ref="A1:AM39"/>
  <sheetViews>
    <sheetView workbookViewId="0">
      <selection activeCell="AM4" sqref="A4:AM39"/>
    </sheetView>
  </sheetViews>
  <sheetFormatPr defaultColWidth="8.88671875" defaultRowHeight="14.4" x14ac:dyDescent="0.3"/>
  <cols>
    <col min="1" max="1" width="17.33203125" style="43" bestFit="1" customWidth="1"/>
    <col min="2" max="16384" width="8.88671875" style="43"/>
  </cols>
  <sheetData>
    <row r="1" spans="1:39" x14ac:dyDescent="0.3">
      <c r="A1" s="43" t="s">
        <v>180</v>
      </c>
    </row>
    <row r="2" spans="1:39" x14ac:dyDescent="0.3">
      <c r="B2" s="43" t="str" cm="1">
        <f t="array" ref="B2:AM2">+TRANSPOSE('Matrix of Reactions'!AP12:AP49)</f>
        <v>ethanol</v>
      </c>
      <c r="C2" s="43" t="str">
        <v>1-butanol</v>
      </c>
      <c r="D2" s="43" t="str">
        <v>1-hexanol</v>
      </c>
      <c r="E2" s="43" t="str">
        <v>1-octanol</v>
      </c>
      <c r="F2" s="43" t="str">
        <v>1-decanol</v>
      </c>
      <c r="G2" s="43" t="str">
        <v>2-ethylbutanol</v>
      </c>
      <c r="H2" s="43" t="str">
        <v>2-ethylhexanol</v>
      </c>
      <c r="I2" s="43" t="str">
        <v>acetaldehyde</v>
      </c>
      <c r="J2" s="43" t="str">
        <v>butyraldehyde</v>
      </c>
      <c r="K2" s="43" t="str">
        <v>ethyl acetate</v>
      </c>
      <c r="L2" s="43" t="str">
        <v>butyl acetate</v>
      </c>
      <c r="M2" s="43" t="str">
        <v>ethyl butanoate</v>
      </c>
      <c r="N2" s="43" t="str">
        <v>Butyl butanoate</v>
      </c>
      <c r="O2" s="43" t="str">
        <v>hexanal</v>
      </c>
      <c r="P2" s="43" t="str">
        <v>octanal</v>
      </c>
      <c r="Q2" s="43" t="str">
        <v>2-ethylbutanal</v>
      </c>
      <c r="R2" s="43" t="str">
        <v>2-ethylhexanal</v>
      </c>
      <c r="S2" s="43" t="str">
        <v>acetone</v>
      </c>
      <c r="T2" s="43" t="str">
        <v>2-pentanone</v>
      </c>
      <c r="U2" s="43" t="str">
        <v>butyl hexanoate</v>
      </c>
      <c r="V2" s="43" t="str">
        <v>ethyl hexanoate</v>
      </c>
      <c r="W2" s="43" t="str">
        <v>hexyl acetate</v>
      </c>
      <c r="X2" s="43" t="str">
        <v>Butyl octanoate</v>
      </c>
      <c r="Y2" s="43" t="str">
        <v>2-ethylbutyl acetate</v>
      </c>
      <c r="Z2" s="43" t="str">
        <v>4-heptanone</v>
      </c>
      <c r="AA2" s="43" t="str">
        <v>4-nonanone</v>
      </c>
      <c r="AB2" s="43" t="str">
        <v>2-heptanone</v>
      </c>
      <c r="AC2" s="43" t="str">
        <v>2-butyl-1-octanol</v>
      </c>
      <c r="AD2" s="43" t="str">
        <v>2-butenal</v>
      </c>
      <c r="AE2" s="43" t="str">
        <v>2-hexenal</v>
      </c>
      <c r="AF2" s="43" t="str">
        <v>2-ethylbutenal</v>
      </c>
      <c r="AG2" s="43" t="str">
        <v>2-octenal</v>
      </c>
      <c r="AH2" s="43" t="str">
        <v>2-ethylhexenal</v>
      </c>
      <c r="AI2" s="43" t="str">
        <v>2-decenal</v>
      </c>
      <c r="AJ2" s="43" t="str">
        <v>decanal</v>
      </c>
      <c r="AK2" s="43" t="str">
        <v>2-butyl-2-octenal</v>
      </c>
      <c r="AL2" s="43" t="str">
        <v>2-butyloctanal</v>
      </c>
      <c r="AM2" s="43" t="str">
        <v>water</v>
      </c>
    </row>
    <row r="3" spans="1:39" x14ac:dyDescent="0.3">
      <c r="A3" s="43" t="str">
        <f>+Summary!J3</f>
        <v>τ (h*kgcat/kmolgas)</v>
      </c>
      <c r="B3" s="43" t="s">
        <v>143</v>
      </c>
      <c r="C3" s="43" t="s">
        <v>144</v>
      </c>
      <c r="D3" s="43" t="s">
        <v>145</v>
      </c>
      <c r="E3" s="43" t="s">
        <v>146</v>
      </c>
      <c r="F3" s="43" t="s">
        <v>147</v>
      </c>
      <c r="G3" s="43" t="s">
        <v>148</v>
      </c>
      <c r="H3" s="43" t="s">
        <v>149</v>
      </c>
      <c r="I3" s="43" t="s">
        <v>150</v>
      </c>
      <c r="J3" s="43" t="s">
        <v>151</v>
      </c>
      <c r="K3" s="43" t="s">
        <v>152</v>
      </c>
      <c r="L3" s="43" t="s">
        <v>153</v>
      </c>
      <c r="M3" s="43" t="s">
        <v>154</v>
      </c>
      <c r="N3" s="43" t="s">
        <v>155</v>
      </c>
      <c r="O3" s="43" t="s">
        <v>156</v>
      </c>
      <c r="P3" s="43" t="s">
        <v>157</v>
      </c>
      <c r="Q3" s="43" t="s">
        <v>158</v>
      </c>
      <c r="R3" s="43" t="s">
        <v>159</v>
      </c>
      <c r="S3" s="43" t="s">
        <v>160</v>
      </c>
      <c r="T3" s="43" t="s">
        <v>161</v>
      </c>
      <c r="U3" s="43" t="s">
        <v>162</v>
      </c>
      <c r="V3" s="43" t="s">
        <v>163</v>
      </c>
      <c r="W3" s="43" t="s">
        <v>164</v>
      </c>
      <c r="X3" s="43" t="s">
        <v>165</v>
      </c>
      <c r="Y3" s="43" t="s">
        <v>166</v>
      </c>
      <c r="Z3" s="43" t="s">
        <v>167</v>
      </c>
      <c r="AA3" s="43" t="s">
        <v>168</v>
      </c>
      <c r="AB3" s="43" t="s">
        <v>169</v>
      </c>
      <c r="AC3" s="43" t="s">
        <v>170</v>
      </c>
      <c r="AD3" s="43" t="s">
        <v>182</v>
      </c>
      <c r="AE3" s="43" t="s">
        <v>183</v>
      </c>
      <c r="AF3" s="43" t="s">
        <v>184</v>
      </c>
      <c r="AG3" s="43" t="s">
        <v>185</v>
      </c>
      <c r="AH3" s="43" t="s">
        <v>186</v>
      </c>
      <c r="AI3" s="43" t="s">
        <v>187</v>
      </c>
      <c r="AJ3" s="43" t="s">
        <v>188</v>
      </c>
      <c r="AK3" s="43" t="s">
        <v>189</v>
      </c>
      <c r="AL3" s="43" t="s">
        <v>190</v>
      </c>
      <c r="AM3" s="43" t="s">
        <v>171</v>
      </c>
    </row>
    <row r="4" spans="1:39" x14ac:dyDescent="0.3">
      <c r="A4" s="99">
        <v>0</v>
      </c>
      <c r="B4" s="99">
        <v>10.2465805966616</v>
      </c>
      <c r="C4" s="99">
        <v>4.39139111284313</v>
      </c>
      <c r="D4" s="99">
        <v>0</v>
      </c>
      <c r="E4" s="99">
        <v>0</v>
      </c>
      <c r="F4" s="99">
        <v>0</v>
      </c>
      <c r="G4" s="99">
        <v>0</v>
      </c>
      <c r="H4" s="99">
        <v>0</v>
      </c>
      <c r="I4" s="99">
        <v>0</v>
      </c>
      <c r="J4" s="99">
        <v>0</v>
      </c>
      <c r="K4" s="99">
        <v>0</v>
      </c>
      <c r="L4" s="99">
        <v>0</v>
      </c>
      <c r="M4" s="99">
        <v>0</v>
      </c>
      <c r="N4" s="99">
        <v>0</v>
      </c>
      <c r="O4" s="99">
        <v>0</v>
      </c>
      <c r="P4" s="99">
        <v>0</v>
      </c>
      <c r="Q4" s="99">
        <v>0</v>
      </c>
      <c r="R4" s="99">
        <v>0</v>
      </c>
      <c r="S4" s="99">
        <v>0</v>
      </c>
      <c r="T4" s="99">
        <v>0</v>
      </c>
      <c r="U4" s="99">
        <v>0</v>
      </c>
      <c r="V4" s="99">
        <v>0</v>
      </c>
      <c r="W4" s="99">
        <v>0</v>
      </c>
      <c r="X4" s="99">
        <v>0</v>
      </c>
      <c r="Y4" s="99">
        <v>0</v>
      </c>
      <c r="Z4" s="99">
        <v>0</v>
      </c>
      <c r="AA4" s="99">
        <v>0</v>
      </c>
      <c r="AB4" s="99">
        <v>0</v>
      </c>
      <c r="AC4" s="99">
        <v>0</v>
      </c>
      <c r="AD4" s="99">
        <v>0</v>
      </c>
      <c r="AE4" s="99">
        <v>0</v>
      </c>
      <c r="AF4" s="99">
        <v>0</v>
      </c>
      <c r="AG4" s="99">
        <v>0</v>
      </c>
      <c r="AH4" s="99">
        <v>0</v>
      </c>
      <c r="AI4" s="99">
        <v>0</v>
      </c>
      <c r="AJ4" s="99">
        <v>0</v>
      </c>
      <c r="AK4" s="99">
        <v>0</v>
      </c>
      <c r="AL4" s="99">
        <v>0</v>
      </c>
      <c r="AM4" s="99">
        <v>0</v>
      </c>
    </row>
    <row r="5" spans="1:39" x14ac:dyDescent="0.3">
      <c r="A5" s="99">
        <v>0.12825058412978099</v>
      </c>
      <c r="B5" s="99">
        <v>9.9233112506270906</v>
      </c>
      <c r="C5" s="99">
        <v>4.1148216083885103</v>
      </c>
      <c r="D5" s="99">
        <v>1.7070105180710699E-3</v>
      </c>
      <c r="E5" s="99">
        <v>6.0149290563994702E-7</v>
      </c>
      <c r="F5" s="99">
        <v>1.4358371001617801E-12</v>
      </c>
      <c r="G5" s="99">
        <v>4.3098862764432603E-5</v>
      </c>
      <c r="H5" s="99">
        <v>1.7801897332092699E-5</v>
      </c>
      <c r="I5" s="99">
        <v>0.314797450270275</v>
      </c>
      <c r="J5" s="99">
        <v>0.275324512381035</v>
      </c>
      <c r="K5" s="99">
        <v>1.7467647958156101E-3</v>
      </c>
      <c r="L5" s="99">
        <v>1.5164162174423599E-3</v>
      </c>
      <c r="M5" s="99">
        <v>2.0038304620997802E-3</v>
      </c>
      <c r="N5" s="99">
        <v>1.2256015901266099E-3</v>
      </c>
      <c r="O5" s="99">
        <v>9.5363998596601895E-4</v>
      </c>
      <c r="P5" s="99">
        <v>1.0337750389697E-5</v>
      </c>
      <c r="Q5" s="99">
        <v>4.5594619290934902E-4</v>
      </c>
      <c r="R5" s="99">
        <v>1.55620609804648E-4</v>
      </c>
      <c r="S5" s="99">
        <v>1.08123732758275E-4</v>
      </c>
      <c r="T5" s="99">
        <v>2.1770295640083899E-4</v>
      </c>
      <c r="U5" s="99">
        <v>1.0410712426166301E-5</v>
      </c>
      <c r="V5" s="99">
        <v>6.8821845254928796E-6</v>
      </c>
      <c r="W5" s="99">
        <v>3.5856333696076701E-7</v>
      </c>
      <c r="X5" s="99">
        <v>1.5910186562271901E-7</v>
      </c>
      <c r="Y5" s="99">
        <v>7.3810177727435401E-9</v>
      </c>
      <c r="Z5" s="99">
        <v>9.5344723420517203E-5</v>
      </c>
      <c r="AA5" s="99">
        <v>1.95534274584019E-7</v>
      </c>
      <c r="AB5" s="99">
        <v>2.18236014485938E-7</v>
      </c>
      <c r="AC5" s="99">
        <v>6.7927204511251001E-14</v>
      </c>
      <c r="AD5" s="99">
        <v>1.26856214472586E-3</v>
      </c>
      <c r="AE5" s="99">
        <v>8.3964284692099301E-4</v>
      </c>
      <c r="AF5" s="99">
        <v>1.5539134155966201E-4</v>
      </c>
      <c r="AG5" s="99">
        <v>5.6409156171026103E-6</v>
      </c>
      <c r="AH5" s="99">
        <v>5.2434189628637201E-5</v>
      </c>
      <c r="AI5" s="99">
        <v>2.8139547154643099E-9</v>
      </c>
      <c r="AJ5" s="99">
        <v>3.2982050063729601E-9</v>
      </c>
      <c r="AK5" s="99">
        <v>1.93069053341984E-10</v>
      </c>
      <c r="AL5" s="99">
        <v>2.8214075535503799E-10</v>
      </c>
      <c r="AM5" s="99">
        <v>9.6490258184795397E-3</v>
      </c>
    </row>
    <row r="6" spans="1:39" x14ac:dyDescent="0.3">
      <c r="A6" s="99">
        <v>0.14952920299663799</v>
      </c>
      <c r="B6" s="99">
        <v>9.86989332224951</v>
      </c>
      <c r="C6" s="99">
        <v>4.0801160045786098</v>
      </c>
      <c r="D6" s="99">
        <v>2.8405804117853299E-3</v>
      </c>
      <c r="E6" s="99">
        <v>1.5622341082185001E-6</v>
      </c>
      <c r="F6" s="99">
        <v>6.6091906679613602E-12</v>
      </c>
      <c r="G6" s="99">
        <v>8.2176412126566998E-5</v>
      </c>
      <c r="H6" s="99">
        <v>3.3427290976482001E-5</v>
      </c>
      <c r="I6" s="99">
        <v>0.360019978723288</v>
      </c>
      <c r="J6" s="99">
        <v>0.308927955994861</v>
      </c>
      <c r="K6" s="99">
        <v>2.3495350405030101E-3</v>
      </c>
      <c r="L6" s="99">
        <v>2.0340656180771501E-3</v>
      </c>
      <c r="M6" s="99">
        <v>2.65689280811411E-3</v>
      </c>
      <c r="N6" s="99">
        <v>1.62063967398571E-3</v>
      </c>
      <c r="O6" s="99">
        <v>1.4102591012895001E-3</v>
      </c>
      <c r="P6" s="99">
        <v>2.2074781874039501E-5</v>
      </c>
      <c r="Q6" s="99">
        <v>7.1713704786147505E-4</v>
      </c>
      <c r="R6" s="99">
        <v>2.40366227562674E-4</v>
      </c>
      <c r="S6" s="99">
        <v>1.6813699250143799E-4</v>
      </c>
      <c r="T6" s="99">
        <v>3.3320325981168498E-4</v>
      </c>
      <c r="U6" s="99">
        <v>1.8250315950258801E-5</v>
      </c>
      <c r="V6" s="99">
        <v>1.2102153351037999E-5</v>
      </c>
      <c r="W6" s="99">
        <v>8.2188416339814102E-7</v>
      </c>
      <c r="X6" s="99">
        <v>4.0266517451429501E-7</v>
      </c>
      <c r="Y6" s="99">
        <v>1.9158394510345101E-8</v>
      </c>
      <c r="Z6" s="99">
        <v>1.43658388087658E-4</v>
      </c>
      <c r="AA6" s="99">
        <v>3.9018288980897E-7</v>
      </c>
      <c r="AB6" s="99">
        <v>4.4302094905339998E-7</v>
      </c>
      <c r="AC6" s="99">
        <v>2.3649665029803598E-13</v>
      </c>
      <c r="AD6" s="99">
        <v>1.6851071691073899E-3</v>
      </c>
      <c r="AE6" s="99">
        <v>1.09321911713018E-3</v>
      </c>
      <c r="AF6" s="99">
        <v>2.0232029360679E-4</v>
      </c>
      <c r="AG6" s="99">
        <v>9.9319076466597393E-6</v>
      </c>
      <c r="AH6" s="99">
        <v>6.7097760542075198E-5</v>
      </c>
      <c r="AI6" s="99">
        <v>8.9573470738580703E-9</v>
      </c>
      <c r="AJ6" s="99">
        <v>1.2698359001353201E-8</v>
      </c>
      <c r="AK6" s="99">
        <v>4.4975377550933898E-10</v>
      </c>
      <c r="AL6" s="99">
        <v>8.0861783764742197E-10</v>
      </c>
      <c r="AM6" s="99">
        <v>1.48996070506282E-2</v>
      </c>
    </row>
    <row r="7" spans="1:39" x14ac:dyDescent="0.3">
      <c r="A7" s="99">
        <v>0.17433825117072199</v>
      </c>
      <c r="B7" s="99">
        <v>9.8081548750063696</v>
      </c>
      <c r="C7" s="99">
        <v>4.0434634444238799</v>
      </c>
      <c r="D7" s="99">
        <v>4.6219533916860801E-3</v>
      </c>
      <c r="E7" s="99">
        <v>3.9503286824929103E-6</v>
      </c>
      <c r="F7" s="99">
        <v>2.9589650671941898E-11</v>
      </c>
      <c r="G7" s="99">
        <v>1.5412930968248799E-4</v>
      </c>
      <c r="H7" s="99">
        <v>6.1655507925984304E-5</v>
      </c>
      <c r="I7" s="99">
        <v>0.40910319813025398</v>
      </c>
      <c r="J7" s="99">
        <v>0.34420606561411099</v>
      </c>
      <c r="K7" s="99">
        <v>3.1455991612954798E-3</v>
      </c>
      <c r="L7" s="99">
        <v>2.7156964200418898E-3</v>
      </c>
      <c r="M7" s="99">
        <v>3.502901573848E-3</v>
      </c>
      <c r="N7" s="99">
        <v>2.1308857058167999E-3</v>
      </c>
      <c r="O7" s="99">
        <v>2.0552398039662E-3</v>
      </c>
      <c r="P7" s="99">
        <v>4.5673276144445297E-5</v>
      </c>
      <c r="Q7" s="99">
        <v>1.1052732968736001E-3</v>
      </c>
      <c r="R7" s="99">
        <v>3.63307422073525E-4</v>
      </c>
      <c r="S7" s="99">
        <v>2.5905067028748798E-4</v>
      </c>
      <c r="T7" s="99">
        <v>5.0480410768396296E-4</v>
      </c>
      <c r="U7" s="99">
        <v>3.15233598793766E-5</v>
      </c>
      <c r="V7" s="99">
        <v>2.0967344414917499E-5</v>
      </c>
      <c r="W7" s="99">
        <v>1.83389535683415E-6</v>
      </c>
      <c r="X7" s="99">
        <v>9.9049905311791603E-7</v>
      </c>
      <c r="Y7" s="99">
        <v>4.8732155032943701E-8</v>
      </c>
      <c r="Z7" s="99">
        <v>2.1405739084721199E-4</v>
      </c>
      <c r="AA7" s="99">
        <v>7.6241003915972499E-7</v>
      </c>
      <c r="AB7" s="99">
        <v>8.8139990627117497E-7</v>
      </c>
      <c r="AC7" s="99">
        <v>7.9449044066917796E-13</v>
      </c>
      <c r="AD7" s="99">
        <v>2.1946488528481402E-3</v>
      </c>
      <c r="AE7" s="99">
        <v>1.3943837152740001E-3</v>
      </c>
      <c r="AF7" s="99">
        <v>2.5805633811919703E-4</v>
      </c>
      <c r="AG7" s="99">
        <v>1.6941754827888798E-5</v>
      </c>
      <c r="AH7" s="99">
        <v>8.4117824872647801E-5</v>
      </c>
      <c r="AI7" s="99">
        <v>2.72845990683985E-8</v>
      </c>
      <c r="AJ7" s="99">
        <v>4.7146638008177397E-8</v>
      </c>
      <c r="AK7" s="99">
        <v>1.0033130778651599E-9</v>
      </c>
      <c r="AL7" s="99">
        <v>2.2261456919903498E-9</v>
      </c>
      <c r="AM7" s="99">
        <v>2.27902731119809E-2</v>
      </c>
    </row>
    <row r="8" spans="1:39" x14ac:dyDescent="0.3">
      <c r="A8" s="99">
        <v>0.20326347771645201</v>
      </c>
      <c r="B8" s="99">
        <v>9.7371212241740501</v>
      </c>
      <c r="C8" s="99">
        <v>4.0056324921346098</v>
      </c>
      <c r="D8" s="99">
        <v>7.3427652018656798E-3</v>
      </c>
      <c r="E8" s="99">
        <v>9.6703576062568597E-6</v>
      </c>
      <c r="F8" s="99">
        <v>1.26032861915577E-10</v>
      </c>
      <c r="G8" s="99">
        <v>2.8339752238457902E-4</v>
      </c>
      <c r="H8" s="99">
        <v>1.11360882470247E-4</v>
      </c>
      <c r="I8" s="99">
        <v>0.46112695662402098</v>
      </c>
      <c r="J8" s="99">
        <v>0.38042651292063401</v>
      </c>
      <c r="K8" s="99">
        <v>4.1856690145169002E-3</v>
      </c>
      <c r="L8" s="99">
        <v>3.6040451455942898E-3</v>
      </c>
      <c r="M8" s="99">
        <v>4.5868170668758798E-3</v>
      </c>
      <c r="N8" s="99">
        <v>2.7829986556772899E-3</v>
      </c>
      <c r="O8" s="99">
        <v>2.94915831145661E-3</v>
      </c>
      <c r="P8" s="99">
        <v>9.12616088034994E-5</v>
      </c>
      <c r="Q8" s="99">
        <v>1.66501053277351E-3</v>
      </c>
      <c r="R8" s="99">
        <v>5.3624750268715601E-4</v>
      </c>
      <c r="S8" s="99">
        <v>3.94370294228944E-4</v>
      </c>
      <c r="T8" s="99">
        <v>7.5525534413946002E-4</v>
      </c>
      <c r="U8" s="99">
        <v>5.35886548598201E-5</v>
      </c>
      <c r="V8" s="99">
        <v>3.5743701107010501E-5</v>
      </c>
      <c r="W8" s="99">
        <v>3.9658764791284004E-6</v>
      </c>
      <c r="X8" s="99">
        <v>2.3568893949546799E-6</v>
      </c>
      <c r="Y8" s="99">
        <v>1.20570046271842E-7</v>
      </c>
      <c r="Z8" s="99">
        <v>3.1480658202102702E-4</v>
      </c>
      <c r="AA8" s="99">
        <v>1.4552567946494501E-6</v>
      </c>
      <c r="AB8" s="99">
        <v>1.7135251999134501E-6</v>
      </c>
      <c r="AC8" s="99">
        <v>2.5533760505672798E-12</v>
      </c>
      <c r="AD8" s="99">
        <v>2.7953896266130602E-3</v>
      </c>
      <c r="AE8" s="99">
        <v>1.73918672513407E-3</v>
      </c>
      <c r="AF8" s="99">
        <v>3.2186847348720398E-4</v>
      </c>
      <c r="AG8" s="99">
        <v>2.7945831120336701E-5</v>
      </c>
      <c r="AH8" s="99">
        <v>1.0322376904528301E-4</v>
      </c>
      <c r="AI8" s="99">
        <v>7.8690896469603397E-8</v>
      </c>
      <c r="AJ8" s="99">
        <v>1.6626581995334701E-7</v>
      </c>
      <c r="AK8" s="99">
        <v>2.1365617858832898E-9</v>
      </c>
      <c r="AL8" s="99">
        <v>5.8606142803625699E-9</v>
      </c>
      <c r="AM8" s="99">
        <v>3.4444748051657197E-2</v>
      </c>
    </row>
    <row r="9" spans="1:39" x14ac:dyDescent="0.3">
      <c r="A9" s="99">
        <v>0.23698781590350701</v>
      </c>
      <c r="B9" s="99">
        <v>9.6558673809266509</v>
      </c>
      <c r="C9" s="99">
        <v>3.96766691320548</v>
      </c>
      <c r="D9" s="99">
        <v>1.1370425204249201E-2</v>
      </c>
      <c r="E9" s="99">
        <v>2.28818113785813E-5</v>
      </c>
      <c r="F9" s="99">
        <v>5.1519983112974199E-10</v>
      </c>
      <c r="G9" s="99">
        <v>5.0926230683207897E-4</v>
      </c>
      <c r="H9" s="99">
        <v>1.96420798406799E-4</v>
      </c>
      <c r="I9" s="99">
        <v>0.51461628947614402</v>
      </c>
      <c r="J9" s="99">
        <v>0.41664225358146001</v>
      </c>
      <c r="K9" s="99">
        <v>5.52570370433445E-3</v>
      </c>
      <c r="L9" s="99">
        <v>4.7466676394289104E-3</v>
      </c>
      <c r="M9" s="99">
        <v>5.9569101148455204E-3</v>
      </c>
      <c r="N9" s="99">
        <v>3.6058977658602301E-3</v>
      </c>
      <c r="O9" s="99">
        <v>4.1611366843707703E-3</v>
      </c>
      <c r="P9" s="99">
        <v>1.7566622039495299E-4</v>
      </c>
      <c r="Q9" s="99">
        <v>2.4443682217494202E-3</v>
      </c>
      <c r="R9" s="99">
        <v>7.7114276889008902E-4</v>
      </c>
      <c r="S9" s="99">
        <v>5.9140367671199601E-4</v>
      </c>
      <c r="T9" s="99">
        <v>1.11299127281613E-3</v>
      </c>
      <c r="U9" s="99">
        <v>8.9553281685708099E-5</v>
      </c>
      <c r="V9" s="99">
        <v>5.98728968523426E-5</v>
      </c>
      <c r="W9" s="99">
        <v>8.2954504938846305E-6</v>
      </c>
      <c r="X9" s="99">
        <v>5.4173358088592599E-6</v>
      </c>
      <c r="Y9" s="99">
        <v>2.8949973946155497E-7</v>
      </c>
      <c r="Z9" s="99">
        <v>4.5597566114157401E-4</v>
      </c>
      <c r="AA9" s="99">
        <v>2.7090492389914901E-6</v>
      </c>
      <c r="AB9" s="99">
        <v>3.2484585774031799E-6</v>
      </c>
      <c r="AC9" s="99">
        <v>7.8814104020062598E-12</v>
      </c>
      <c r="AD9" s="99">
        <v>3.4729514199344801E-3</v>
      </c>
      <c r="AE9" s="99">
        <v>2.1174790559067599E-3</v>
      </c>
      <c r="AF9" s="99">
        <v>3.91878426214456E-4</v>
      </c>
      <c r="AG9" s="99">
        <v>4.4516169626647999E-5</v>
      </c>
      <c r="AH9" s="99">
        <v>1.2390581798431001E-4</v>
      </c>
      <c r="AI9" s="99">
        <v>2.15188785624459E-7</v>
      </c>
      <c r="AJ9" s="99">
        <v>5.5884628788571899E-7</v>
      </c>
      <c r="AK9" s="99">
        <v>4.3506984324891102E-9</v>
      </c>
      <c r="AL9" s="99">
        <v>1.4775973190526401E-8</v>
      </c>
      <c r="AM9" s="99">
        <v>5.1294566916378598E-2</v>
      </c>
    </row>
    <row r="10" spans="1:39" x14ac:dyDescent="0.3">
      <c r="A10" s="99">
        <v>0.27630750746605398</v>
      </c>
      <c r="B10" s="99">
        <v>9.5635868611989991</v>
      </c>
      <c r="C10" s="99">
        <v>3.9308349738653101</v>
      </c>
      <c r="D10" s="99">
        <v>1.7128763564168498E-2</v>
      </c>
      <c r="E10" s="99">
        <v>5.2194234397122197E-5</v>
      </c>
      <c r="F10" s="99">
        <v>2.0338375082625E-9</v>
      </c>
      <c r="G10" s="99">
        <v>8.91086716275553E-4</v>
      </c>
      <c r="H10" s="99">
        <v>3.37249052675538E-4</v>
      </c>
      <c r="I10" s="99">
        <v>0.56756216051699004</v>
      </c>
      <c r="J10" s="99">
        <v>0.451748058257051</v>
      </c>
      <c r="K10" s="99">
        <v>7.22225546733672E-3</v>
      </c>
      <c r="L10" s="99">
        <v>6.1925960046157504E-3</v>
      </c>
      <c r="M10" s="99">
        <v>7.6610613702479098E-3</v>
      </c>
      <c r="N10" s="99">
        <v>4.6289590282488201E-3</v>
      </c>
      <c r="O10" s="99">
        <v>5.7625664047417603E-3</v>
      </c>
      <c r="P10" s="99">
        <v>3.24674462449734E-4</v>
      </c>
      <c r="Q10" s="99">
        <v>3.48597325019294E-3</v>
      </c>
      <c r="R10" s="99">
        <v>1.07782856532912E-3</v>
      </c>
      <c r="S10" s="99">
        <v>8.7063736606132096E-4</v>
      </c>
      <c r="T10" s="99">
        <v>1.61096740075926E-3</v>
      </c>
      <c r="U10" s="99">
        <v>1.4686204732108899E-4</v>
      </c>
      <c r="V10" s="99">
        <v>9.8348913619719904E-5</v>
      </c>
      <c r="W10" s="99">
        <v>1.67422969595831E-5</v>
      </c>
      <c r="X10" s="99">
        <v>1.1997203249636901E-5</v>
      </c>
      <c r="Y10" s="99">
        <v>6.7269234142445201E-7</v>
      </c>
      <c r="Z10" s="99">
        <v>6.4899784860964198E-4</v>
      </c>
      <c r="AA10" s="99">
        <v>4.9083881930964899E-6</v>
      </c>
      <c r="AB10" s="99">
        <v>5.9899487750906E-6</v>
      </c>
      <c r="AC10" s="99">
        <v>2.3430417992760001E-11</v>
      </c>
      <c r="AD10" s="99">
        <v>4.1983063984380696E-3</v>
      </c>
      <c r="AE10" s="99">
        <v>2.5128423131458599E-3</v>
      </c>
      <c r="AF10" s="99">
        <v>4.6504766030639599E-4</v>
      </c>
      <c r="AG10" s="99">
        <v>6.8393571845077496E-5</v>
      </c>
      <c r="AH10" s="99">
        <v>1.45453545947051E-4</v>
      </c>
      <c r="AI10" s="99">
        <v>5.5743754402365803E-7</v>
      </c>
      <c r="AJ10" s="99">
        <v>1.79325674394184E-6</v>
      </c>
      <c r="AK10" s="99">
        <v>8.48945480589595E-9</v>
      </c>
      <c r="AL10" s="99">
        <v>3.5724234583690799E-8</v>
      </c>
      <c r="AM10" s="99">
        <v>7.5031239503097896E-2</v>
      </c>
    </row>
    <row r="11" spans="1:39" x14ac:dyDescent="0.3">
      <c r="A11" s="99">
        <v>0.322150902108776</v>
      </c>
      <c r="B11" s="99">
        <v>9.4596487486352601</v>
      </c>
      <c r="C11" s="99">
        <v>3.8965512554815098</v>
      </c>
      <c r="D11" s="99">
        <v>2.5059145790082799E-2</v>
      </c>
      <c r="E11" s="99">
        <v>1.1382742477720001E-4</v>
      </c>
      <c r="F11" s="99">
        <v>7.4762336952993794E-9</v>
      </c>
      <c r="G11" s="99">
        <v>1.5116086292582701E-3</v>
      </c>
      <c r="H11" s="99">
        <v>5.6165984396121E-4</v>
      </c>
      <c r="I11" s="99">
        <v>0.61757281816712595</v>
      </c>
      <c r="J11" s="99">
        <v>0.48454023004676799</v>
      </c>
      <c r="K11" s="99">
        <v>9.3276261257813197E-3</v>
      </c>
      <c r="L11" s="99">
        <v>7.9890267692856506E-3</v>
      </c>
      <c r="M11" s="99">
        <v>9.7434285093740292E-3</v>
      </c>
      <c r="N11" s="99">
        <v>5.88053437543779E-3</v>
      </c>
      <c r="O11" s="99">
        <v>7.8201721216031393E-3</v>
      </c>
      <c r="P11" s="99">
        <v>5.7366540421580601E-4</v>
      </c>
      <c r="Q11" s="99">
        <v>4.8164061974329004E-3</v>
      </c>
      <c r="R11" s="99">
        <v>1.46168122387678E-3</v>
      </c>
      <c r="S11" s="99">
        <v>1.2541271161415101E-3</v>
      </c>
      <c r="T11" s="99">
        <v>2.2842470053284001E-3</v>
      </c>
      <c r="U11" s="99">
        <v>2.3584081514150699E-4</v>
      </c>
      <c r="V11" s="99">
        <v>1.58033124754653E-4</v>
      </c>
      <c r="W11" s="99">
        <v>3.2431197530042299E-5</v>
      </c>
      <c r="X11" s="99">
        <v>2.5420479431546699E-5</v>
      </c>
      <c r="Y11" s="99">
        <v>1.49795953985538E-6</v>
      </c>
      <c r="Z11" s="99">
        <v>9.0591661522945505E-4</v>
      </c>
      <c r="AA11" s="99">
        <v>8.6259611132638092E-6</v>
      </c>
      <c r="AB11" s="99">
        <v>1.06972292501353E-5</v>
      </c>
      <c r="AC11" s="99">
        <v>6.6078855106788795E-11</v>
      </c>
      <c r="AD11" s="99">
        <v>4.9271499696768402E-3</v>
      </c>
      <c r="AE11" s="99">
        <v>2.9028986376976301E-3</v>
      </c>
      <c r="AF11" s="99">
        <v>5.3723475449676697E-4</v>
      </c>
      <c r="AG11" s="99">
        <v>1.01152180257469E-4</v>
      </c>
      <c r="AH11" s="99">
        <v>1.66966953586464E-4</v>
      </c>
      <c r="AI11" s="99">
        <v>1.35222262560263E-6</v>
      </c>
      <c r="AJ11" s="99">
        <v>5.3793377786787799E-6</v>
      </c>
      <c r="AK11" s="99">
        <v>1.58286060260712E-8</v>
      </c>
      <c r="AL11" s="99">
        <v>8.2274891986314997E-8</v>
      </c>
      <c r="AM11" s="99">
        <v>0.10748597783340801</v>
      </c>
    </row>
    <row r="12" spans="1:39" x14ac:dyDescent="0.3">
      <c r="A12" s="99">
        <v>0.375600376121696</v>
      </c>
      <c r="B12" s="99">
        <v>9.34366273235816</v>
      </c>
      <c r="C12" s="99">
        <v>3.8661878543345698</v>
      </c>
      <c r="D12" s="99">
        <v>3.5550125389982097E-2</v>
      </c>
      <c r="E12" s="99">
        <v>2.3628604837614E-4</v>
      </c>
      <c r="F12" s="99">
        <v>2.5390966611246101E-8</v>
      </c>
      <c r="G12" s="99">
        <v>2.4773360039116099E-3</v>
      </c>
      <c r="H12" s="99">
        <v>9.0480262117848399E-4</v>
      </c>
      <c r="I12" s="99">
        <v>0.66219824547204897</v>
      </c>
      <c r="J12" s="99">
        <v>0.513865223451759</v>
      </c>
      <c r="K12" s="99">
        <v>1.18818087472918E-2</v>
      </c>
      <c r="L12" s="99">
        <v>1.0175485911749899E-2</v>
      </c>
      <c r="M12" s="99">
        <v>1.2238475130008499E-2</v>
      </c>
      <c r="N12" s="99">
        <v>7.3850291280740102E-3</v>
      </c>
      <c r="O12" s="99">
        <v>1.03865595958616E-2</v>
      </c>
      <c r="P12" s="99">
        <v>9.6550406715407197E-4</v>
      </c>
      <c r="Q12" s="99">
        <v>6.4320402337994997E-3</v>
      </c>
      <c r="R12" s="99">
        <v>1.9206454492984E-3</v>
      </c>
      <c r="S12" s="99">
        <v>1.76251434482582E-3</v>
      </c>
      <c r="T12" s="99">
        <v>3.1655994774014598E-3</v>
      </c>
      <c r="U12" s="99">
        <v>3.7024617912126401E-4</v>
      </c>
      <c r="V12" s="99">
        <v>2.4792499386244699E-4</v>
      </c>
      <c r="W12" s="99">
        <v>6.0082614689154203E-5</v>
      </c>
      <c r="X12" s="99">
        <v>5.13662304659007E-5</v>
      </c>
      <c r="Y12" s="99">
        <v>3.1777335595543398E-6</v>
      </c>
      <c r="Z12" s="99">
        <v>1.2380103437072401E-3</v>
      </c>
      <c r="AA12" s="99">
        <v>1.4664488860678499E-5</v>
      </c>
      <c r="AB12" s="99">
        <v>1.8439958934507999E-5</v>
      </c>
      <c r="AC12" s="99">
        <v>1.7603594419821401E-10</v>
      </c>
      <c r="AD12" s="99">
        <v>5.6043921469747203E-3</v>
      </c>
      <c r="AE12" s="99">
        <v>3.2617956385256599E-3</v>
      </c>
      <c r="AF12" s="99">
        <v>6.0365524096826599E-4</v>
      </c>
      <c r="AG12" s="99">
        <v>1.43683863442187E-4</v>
      </c>
      <c r="AH12" s="99">
        <v>1.8743493975473301E-4</v>
      </c>
      <c r="AI12" s="99">
        <v>3.0525901025702299E-6</v>
      </c>
      <c r="AJ12" s="99">
        <v>1.4990417970291701E-5</v>
      </c>
      <c r="AK12" s="99">
        <v>2.8042721712426801E-8</v>
      </c>
      <c r="AL12" s="99">
        <v>1.7989054939430801E-7</v>
      </c>
      <c r="AM12" s="99">
        <v>0.15040361137313299</v>
      </c>
    </row>
    <row r="13" spans="1:39" x14ac:dyDescent="0.3">
      <c r="A13" s="99">
        <v>0.43791788760884698</v>
      </c>
      <c r="B13" s="99">
        <v>9.2154896182464796</v>
      </c>
      <c r="C13" s="99">
        <v>3.8407635774030102</v>
      </c>
      <c r="D13" s="99">
        <v>4.8846113523478098E-2</v>
      </c>
      <c r="E13" s="99">
        <v>4.6592176272656002E-4</v>
      </c>
      <c r="F13" s="99">
        <v>8.0976292181447504E-8</v>
      </c>
      <c r="G13" s="99">
        <v>3.9100668099007604E-3</v>
      </c>
      <c r="H13" s="99">
        <v>1.40644320405713E-3</v>
      </c>
      <c r="I13" s="99">
        <v>0.69948429332675399</v>
      </c>
      <c r="J13" s="99">
        <v>0.53885723047224499</v>
      </c>
      <c r="K13" s="99">
        <v>1.49029963716239E-2</v>
      </c>
      <c r="L13" s="99">
        <v>1.277675886913E-2</v>
      </c>
      <c r="M13" s="99">
        <v>1.5164121707314E-2</v>
      </c>
      <c r="N13" s="99">
        <v>9.1594498281053708E-3</v>
      </c>
      <c r="O13" s="99">
        <v>1.34810718315579E-2</v>
      </c>
      <c r="P13" s="99">
        <v>1.5425317512967199E-3</v>
      </c>
      <c r="Q13" s="99">
        <v>8.2872020348239307E-3</v>
      </c>
      <c r="R13" s="99">
        <v>2.4432002597762101E-3</v>
      </c>
      <c r="S13" s="99">
        <v>2.4106908495996099E-3</v>
      </c>
      <c r="T13" s="99">
        <v>4.2792177605952596E-3</v>
      </c>
      <c r="U13" s="99">
        <v>5.6728662084749198E-4</v>
      </c>
      <c r="V13" s="99">
        <v>3.7898916798266899E-4</v>
      </c>
      <c r="W13" s="99">
        <v>1.0626839793547E-4</v>
      </c>
      <c r="X13" s="99">
        <v>9.8821403768670104E-5</v>
      </c>
      <c r="Y13" s="99">
        <v>6.41070213941551E-6</v>
      </c>
      <c r="Z13" s="99">
        <v>1.65385937908579E-3</v>
      </c>
      <c r="AA13" s="99">
        <v>2.40715932149705E-5</v>
      </c>
      <c r="AB13" s="99">
        <v>3.0611453292816398E-5</v>
      </c>
      <c r="AC13" s="99">
        <v>4.4555171942194699E-10</v>
      </c>
      <c r="AD13" s="99">
        <v>6.1803727730154398E-3</v>
      </c>
      <c r="AE13" s="99">
        <v>3.56740026184661E-3</v>
      </c>
      <c r="AF13" s="99">
        <v>6.6021298395034002E-4</v>
      </c>
      <c r="AG13" s="99">
        <v>1.9603034522599699E-4</v>
      </c>
      <c r="AH13" s="99">
        <v>2.0600012441871699E-4</v>
      </c>
      <c r="AI13" s="99">
        <v>6.4219070938395804E-6</v>
      </c>
      <c r="AJ13" s="99">
        <v>3.9026195660043698E-5</v>
      </c>
      <c r="AK13" s="99">
        <v>4.7317390859429299E-8</v>
      </c>
      <c r="AL13" s="99">
        <v>3.7367252156912702E-7</v>
      </c>
      <c r="AM13" s="99">
        <v>0.20511173575085601</v>
      </c>
    </row>
    <row r="14" spans="1:39" x14ac:dyDescent="0.3">
      <c r="A14" s="99">
        <v>0.51057477169740595</v>
      </c>
      <c r="B14" s="99">
        <v>9.0752235067765898</v>
      </c>
      <c r="C14" s="99">
        <v>3.8209346433793101</v>
      </c>
      <c r="D14" s="99">
        <v>6.5022891128528798E-2</v>
      </c>
      <c r="E14" s="99">
        <v>8.6938657046396002E-4</v>
      </c>
      <c r="F14" s="99">
        <v>2.3777414099358201E-7</v>
      </c>
      <c r="G14" s="99">
        <v>5.9339306030052399E-3</v>
      </c>
      <c r="H14" s="99">
        <v>2.1073995053776501E-3</v>
      </c>
      <c r="I14" s="99">
        <v>0.72813497115806203</v>
      </c>
      <c r="J14" s="99">
        <v>0.55890460581750501</v>
      </c>
      <c r="K14" s="99">
        <v>1.8389587519024302E-2</v>
      </c>
      <c r="L14" s="99">
        <v>1.580461918461E-2</v>
      </c>
      <c r="M14" s="99">
        <v>1.8523567328133199E-2</v>
      </c>
      <c r="N14" s="99">
        <v>1.12145491309687E-2</v>
      </c>
      <c r="O14" s="99">
        <v>1.70937351463228E-2</v>
      </c>
      <c r="P14" s="99">
        <v>2.3362333990814099E-3</v>
      </c>
      <c r="Q14" s="99">
        <v>1.03023051400923E-2</v>
      </c>
      <c r="R14" s="99">
        <v>3.0108614800447801E-3</v>
      </c>
      <c r="S14" s="99">
        <v>3.2065335299735101E-3</v>
      </c>
      <c r="T14" s="99">
        <v>5.6392362380712196E-3</v>
      </c>
      <c r="U14" s="99">
        <v>8.4749694293863797E-4</v>
      </c>
      <c r="V14" s="99">
        <v>5.6386033246226997E-4</v>
      </c>
      <c r="W14" s="99">
        <v>1.79238877222487E-4</v>
      </c>
      <c r="X14" s="99">
        <v>1.8047242410767001E-4</v>
      </c>
      <c r="Y14" s="99">
        <v>1.22491001068027E-5</v>
      </c>
      <c r="Z14" s="99">
        <v>2.1590065274183202E-3</v>
      </c>
      <c r="AA14" s="99">
        <v>3.8111104242476902E-5</v>
      </c>
      <c r="AB14" s="99">
        <v>4.88736939571985E-5</v>
      </c>
      <c r="AC14" s="99">
        <v>1.06223332538853E-9</v>
      </c>
      <c r="AD14" s="99">
        <v>6.6171729622908002E-3</v>
      </c>
      <c r="AE14" s="99">
        <v>3.8029320318915399E-3</v>
      </c>
      <c r="AF14" s="99">
        <v>7.0380248198348297E-4</v>
      </c>
      <c r="AG14" s="99">
        <v>2.5717515248277001E-4</v>
      </c>
      <c r="AH14" s="99">
        <v>2.2193772285789199E-4</v>
      </c>
      <c r="AI14" s="99">
        <v>1.25540212839656E-5</v>
      </c>
      <c r="AJ14" s="99">
        <v>9.4047178569234597E-5</v>
      </c>
      <c r="AK14" s="99">
        <v>7.6071329155193994E-8</v>
      </c>
      <c r="AL14" s="99">
        <v>7.3540405927809001E-7</v>
      </c>
      <c r="AM14" s="99">
        <v>0.272429327586732</v>
      </c>
    </row>
    <row r="15" spans="1:39" x14ac:dyDescent="0.3">
      <c r="A15" s="99">
        <v>0.59528647920111</v>
      </c>
      <c r="B15" s="99">
        <v>8.9231544560382794</v>
      </c>
      <c r="C15" s="99">
        <v>3.8068053005048199</v>
      </c>
      <c r="D15" s="99">
        <v>8.3946707928123795E-2</v>
      </c>
      <c r="E15" s="99">
        <v>1.5342211425103101E-3</v>
      </c>
      <c r="F15" s="99">
        <v>6.4206465380844399E-7</v>
      </c>
      <c r="G15" s="99">
        <v>8.6571305748012906E-3</v>
      </c>
      <c r="H15" s="99">
        <v>3.0444568169177202E-3</v>
      </c>
      <c r="I15" s="99">
        <v>0.74780403995623801</v>
      </c>
      <c r="J15" s="99">
        <v>0.57381147003379096</v>
      </c>
      <c r="K15" s="99">
        <v>2.23180220952846E-2</v>
      </c>
      <c r="L15" s="99">
        <v>1.9255823201630599E-2</v>
      </c>
      <c r="M15" s="99">
        <v>2.23030448640139E-2</v>
      </c>
      <c r="N15" s="99">
        <v>1.35534702137116E-2</v>
      </c>
      <c r="O15" s="99">
        <v>2.11830919442598E-2</v>
      </c>
      <c r="P15" s="99">
        <v>3.3543957907360799E-3</v>
      </c>
      <c r="Q15" s="99">
        <v>1.2372372164702401E-2</v>
      </c>
      <c r="R15" s="99">
        <v>3.6002283653356801E-3</v>
      </c>
      <c r="S15" s="99">
        <v>4.14899569996925E-3</v>
      </c>
      <c r="T15" s="99">
        <v>7.2467211997434399E-3</v>
      </c>
      <c r="U15" s="99">
        <v>1.23422764548582E-3</v>
      </c>
      <c r="V15" s="99">
        <v>8.1621758517640998E-4</v>
      </c>
      <c r="W15" s="99">
        <v>2.88559607598539E-4</v>
      </c>
      <c r="X15" s="99">
        <v>3.1278432763957398E-4</v>
      </c>
      <c r="Y15" s="99">
        <v>2.21614909083421E-5</v>
      </c>
      <c r="Z15" s="99">
        <v>2.7549222690453801E-3</v>
      </c>
      <c r="AA15" s="99">
        <v>5.8207937592055901E-5</v>
      </c>
      <c r="AB15" s="99">
        <v>7.5064867779464495E-5</v>
      </c>
      <c r="AC15" s="99">
        <v>2.38423416515645E-9</v>
      </c>
      <c r="AD15" s="99">
        <v>6.8967878573020103E-3</v>
      </c>
      <c r="AE15" s="99">
        <v>3.9603456076423701E-3</v>
      </c>
      <c r="AF15" s="99">
        <v>7.3293475723351697E-4</v>
      </c>
      <c r="AG15" s="99">
        <v>3.25005793695608E-4</v>
      </c>
      <c r="AH15" s="99">
        <v>2.3477920306757999E-4</v>
      </c>
      <c r="AI15" s="99">
        <v>2.2830546085330099E-5</v>
      </c>
      <c r="AJ15" s="99">
        <v>2.0989062081308899E-4</v>
      </c>
      <c r="AK15" s="99">
        <v>1.1651611467987301E-7</v>
      </c>
      <c r="AL15" s="99">
        <v>1.37234819762419E-6</v>
      </c>
      <c r="AM15" s="99">
        <v>0.35251185833352999</v>
      </c>
    </row>
    <row r="16" spans="1:39" x14ac:dyDescent="0.3">
      <c r="A16" s="99">
        <v>0.694053078928213</v>
      </c>
      <c r="B16" s="99">
        <v>8.7596311687395705</v>
      </c>
      <c r="C16" s="99">
        <v>3.7978461026809498</v>
      </c>
      <c r="D16" s="99">
        <v>0.10529642631217501</v>
      </c>
      <c r="E16" s="99">
        <v>2.5620821883957901E-3</v>
      </c>
      <c r="F16" s="99">
        <v>1.60979648193325E-6</v>
      </c>
      <c r="G16" s="99">
        <v>1.2149160532620299E-2</v>
      </c>
      <c r="H16" s="99">
        <v>4.2441031917463002E-3</v>
      </c>
      <c r="I16" s="99">
        <v>0.75918492239507696</v>
      </c>
      <c r="J16" s="99">
        <v>0.58388610951006603</v>
      </c>
      <c r="K16" s="99">
        <v>2.66475400774587E-2</v>
      </c>
      <c r="L16" s="99">
        <v>2.31149587012934E-2</v>
      </c>
      <c r="M16" s="99">
        <v>2.6474944440904199E-2</v>
      </c>
      <c r="N16" s="99">
        <v>1.6172957759178201E-2</v>
      </c>
      <c r="O16" s="99">
        <v>2.56745843560429E-2</v>
      </c>
      <c r="P16" s="99">
        <v>4.5691831089104198E-3</v>
      </c>
      <c r="Q16" s="99">
        <v>1.43903366269282E-2</v>
      </c>
      <c r="R16" s="99">
        <v>4.1881450418284998E-3</v>
      </c>
      <c r="S16" s="99">
        <v>5.2285350006204996E-3</v>
      </c>
      <c r="T16" s="99">
        <v>9.0899793718330502E-3</v>
      </c>
      <c r="U16" s="99">
        <v>1.7523296102878801E-3</v>
      </c>
      <c r="V16" s="99">
        <v>1.1496026165215101E-3</v>
      </c>
      <c r="W16" s="99">
        <v>4.4425103880640698E-4</v>
      </c>
      <c r="X16" s="99">
        <v>5.1477497214319197E-4</v>
      </c>
      <c r="Y16" s="99">
        <v>3.80235967507457E-5</v>
      </c>
      <c r="Z16" s="99">
        <v>3.4389733479201E-3</v>
      </c>
      <c r="AA16" s="99">
        <v>8.5831878021524097E-5</v>
      </c>
      <c r="AB16" s="99">
        <v>1.1102668893118E-4</v>
      </c>
      <c r="AC16" s="99">
        <v>5.0612715656981298E-9</v>
      </c>
      <c r="AD16" s="99">
        <v>7.0259843180946902E-3</v>
      </c>
      <c r="AE16" s="99">
        <v>4.0425904796855703E-3</v>
      </c>
      <c r="AF16" s="99">
        <v>7.4815561118507295E-4</v>
      </c>
      <c r="AG16" s="99">
        <v>3.96904432578945E-4</v>
      </c>
      <c r="AH16" s="99">
        <v>2.4445366423301202E-4</v>
      </c>
      <c r="AI16" s="99">
        <v>3.87489549511472E-5</v>
      </c>
      <c r="AJ16" s="99">
        <v>4.3583810819428298E-4</v>
      </c>
      <c r="AK16" s="99">
        <v>1.7053162724342899E-7</v>
      </c>
      <c r="AL16" s="99">
        <v>2.4337037332220802E-6</v>
      </c>
      <c r="AM16" s="99">
        <v>0.44486975350010299</v>
      </c>
    </row>
    <row r="17" spans="1:39" x14ac:dyDescent="0.3">
      <c r="A17" s="99">
        <v>0.80920647990560601</v>
      </c>
      <c r="B17" s="99">
        <v>8.5850931036849705</v>
      </c>
      <c r="C17" s="99">
        <v>3.79325195126165</v>
      </c>
      <c r="D17" s="99">
        <v>0.12865951044631899</v>
      </c>
      <c r="E17" s="99">
        <v>4.0581512466030404E-3</v>
      </c>
      <c r="F17" s="99">
        <v>3.7449221154717501E-6</v>
      </c>
      <c r="G17" s="99">
        <v>1.6439780778655801E-2</v>
      </c>
      <c r="H17" s="99">
        <v>5.7228084834414798E-3</v>
      </c>
      <c r="I17" s="99">
        <v>0.76338908999513999</v>
      </c>
      <c r="J17" s="99">
        <v>0.58965528934496203</v>
      </c>
      <c r="K17" s="99">
        <v>3.1330309441027902E-2</v>
      </c>
      <c r="L17" s="99">
        <v>2.7361899230302598E-2</v>
      </c>
      <c r="M17" s="99">
        <v>3.10049920044645E-2</v>
      </c>
      <c r="N17" s="99">
        <v>1.90669934377376E-2</v>
      </c>
      <c r="O17" s="99">
        <v>3.0480636820495999E-2</v>
      </c>
      <c r="P17" s="99">
        <v>5.92105426330312E-3</v>
      </c>
      <c r="Q17" s="99">
        <v>1.6268618329692001E-2</v>
      </c>
      <c r="R17" s="99">
        <v>4.7559965137619897E-3</v>
      </c>
      <c r="S17" s="99">
        <v>6.4316093495649096E-3</v>
      </c>
      <c r="T17" s="99">
        <v>1.1151034887929699E-2</v>
      </c>
      <c r="U17" s="99">
        <v>2.4281026037388698E-3</v>
      </c>
      <c r="V17" s="99">
        <v>1.5772460725071199E-3</v>
      </c>
      <c r="W17" s="99">
        <v>6.5633638235812898E-4</v>
      </c>
      <c r="X17" s="99">
        <v>8.0625062164979805E-4</v>
      </c>
      <c r="Y17" s="99">
        <v>6.2052491442830097E-5</v>
      </c>
      <c r="Z17" s="99">
        <v>4.2064078913058604E-3</v>
      </c>
      <c r="AA17" s="99">
        <v>1.2245807859899001E-4</v>
      </c>
      <c r="AB17" s="99">
        <v>1.58548003030603E-4</v>
      </c>
      <c r="AC17" s="99">
        <v>1.01715845957198E-8</v>
      </c>
      <c r="AD17" s="99">
        <v>7.02382611642355E-3</v>
      </c>
      <c r="AE17" s="99">
        <v>4.0581147792392198E-3</v>
      </c>
      <c r="AF17" s="99">
        <v>7.5102835064690804E-4</v>
      </c>
      <c r="AG17" s="99">
        <v>4.7011423147700899E-4</v>
      </c>
      <c r="AH17" s="99">
        <v>2.5110225741138697E-4</v>
      </c>
      <c r="AI17" s="99">
        <v>6.16723692111403E-5</v>
      </c>
      <c r="AJ17" s="99">
        <v>8.4449185236634195E-4</v>
      </c>
      <c r="AK17" s="99">
        <v>2.3933932314050699E-7</v>
      </c>
      <c r="AL17" s="99">
        <v>4.1122325423149801E-6</v>
      </c>
      <c r="AM17" s="99">
        <v>0.54871375050469695</v>
      </c>
    </row>
    <row r="18" spans="1:39" x14ac:dyDescent="0.3">
      <c r="A18" s="99">
        <v>0.94346548844998401</v>
      </c>
      <c r="B18" s="99">
        <v>8.39999499425344</v>
      </c>
      <c r="C18" s="99">
        <v>3.7920035219441202</v>
      </c>
      <c r="D18" s="99">
        <v>0.15357822103447699</v>
      </c>
      <c r="E18" s="99">
        <v>6.1173876559938401E-3</v>
      </c>
      <c r="F18" s="99">
        <v>8.1229063554764696E-6</v>
      </c>
      <c r="G18" s="99">
        <v>2.15153798545091E-2</v>
      </c>
      <c r="H18" s="99">
        <v>7.4860019563291998E-3</v>
      </c>
      <c r="I18" s="99">
        <v>0.76178787440300799</v>
      </c>
      <c r="J18" s="99">
        <v>0.59183848561970498</v>
      </c>
      <c r="K18" s="99">
        <v>3.6315719054228403E-2</v>
      </c>
      <c r="L18" s="99">
        <v>3.1974442162163802E-2</v>
      </c>
      <c r="M18" s="99">
        <v>3.5855570079529199E-2</v>
      </c>
      <c r="N18" s="99">
        <v>2.22281784498062E-2</v>
      </c>
      <c r="O18" s="99">
        <v>3.5508119777703497E-2</v>
      </c>
      <c r="P18" s="99">
        <v>7.3240888964687598E-3</v>
      </c>
      <c r="Q18" s="99">
        <v>1.7950911682549898E-2</v>
      </c>
      <c r="R18" s="99">
        <v>5.2920628956763596E-3</v>
      </c>
      <c r="S18" s="99">
        <v>7.74252955970823E-3</v>
      </c>
      <c r="T18" s="99">
        <v>1.34082085792932E-2</v>
      </c>
      <c r="U18" s="99">
        <v>3.2883749860512599E-3</v>
      </c>
      <c r="V18" s="99">
        <v>2.1112891292691801E-3</v>
      </c>
      <c r="W18" s="99">
        <v>9.3430175856465999E-4</v>
      </c>
      <c r="X18" s="99">
        <v>1.2054305957194401E-3</v>
      </c>
      <c r="Y18" s="99">
        <v>9.6722068286311596E-5</v>
      </c>
      <c r="Z18" s="99">
        <v>5.0511186584013901E-3</v>
      </c>
      <c r="AA18" s="99">
        <v>1.6949702725776601E-4</v>
      </c>
      <c r="AB18" s="99">
        <v>2.1927113676926599E-4</v>
      </c>
      <c r="AC18" s="99">
        <v>1.9421803926928199E-8</v>
      </c>
      <c r="AD18" s="99">
        <v>6.9168664825027199E-3</v>
      </c>
      <c r="AE18" s="99">
        <v>4.0192106753500698E-3</v>
      </c>
      <c r="AF18" s="99">
        <v>7.43828672637842E-4</v>
      </c>
      <c r="AG18" s="99">
        <v>5.4206514243811501E-4</v>
      </c>
      <c r="AH18" s="99">
        <v>2.5506329432390198E-4</v>
      </c>
      <c r="AI18" s="99">
        <v>9.2560253469421499E-5</v>
      </c>
      <c r="AJ18" s="99">
        <v>1.5351444997883199E-3</v>
      </c>
      <c r="AK18" s="99">
        <v>3.2324323472579501E-7</v>
      </c>
      <c r="AL18" s="99">
        <v>6.6453471032905196E-6</v>
      </c>
      <c r="AM18" s="99">
        <v>0.66309133426627598</v>
      </c>
    </row>
    <row r="19" spans="1:39" x14ac:dyDescent="0.3">
      <c r="A19" s="99">
        <v>1.1000000000000001</v>
      </c>
      <c r="B19" s="99">
        <v>8.2047695601109698</v>
      </c>
      <c r="C19" s="99">
        <v>3.7930356818872002</v>
      </c>
      <c r="D19" s="99">
        <v>0.17960821113639799</v>
      </c>
      <c r="E19" s="99">
        <v>8.8100401553819398E-3</v>
      </c>
      <c r="F19" s="99">
        <v>1.6534323307465301E-5</v>
      </c>
      <c r="G19" s="99">
        <v>2.7326405349645401E-2</v>
      </c>
      <c r="H19" s="99">
        <v>9.5300998093218892E-3</v>
      </c>
      <c r="I19" s="99">
        <v>0.75573674937159396</v>
      </c>
      <c r="J19" s="99">
        <v>0.59121436238562997</v>
      </c>
      <c r="K19" s="99">
        <v>4.15553670778444E-2</v>
      </c>
      <c r="L19" s="99">
        <v>3.6931789292671699E-2</v>
      </c>
      <c r="M19" s="99">
        <v>4.0989980903634003E-2</v>
      </c>
      <c r="N19" s="99">
        <v>2.5649831224625799E-2</v>
      </c>
      <c r="O19" s="99">
        <v>4.0667093398655201E-2</v>
      </c>
      <c r="P19" s="99">
        <v>8.6795141472550894E-3</v>
      </c>
      <c r="Q19" s="99">
        <v>1.9416480999396801E-2</v>
      </c>
      <c r="R19" s="99">
        <v>5.7922916509796502E-3</v>
      </c>
      <c r="S19" s="99">
        <v>9.1458503022580403E-3</v>
      </c>
      <c r="T19" s="99">
        <v>1.58398054101659E-2</v>
      </c>
      <c r="U19" s="99">
        <v>4.3599694189862398E-3</v>
      </c>
      <c r="V19" s="99">
        <v>2.7623693175784199E-3</v>
      </c>
      <c r="W19" s="99">
        <v>1.28680770061375E-3</v>
      </c>
      <c r="X19" s="99">
        <v>1.72644499286414E-3</v>
      </c>
      <c r="Y19" s="99">
        <v>1.4465792497154399E-4</v>
      </c>
      <c r="Z19" s="99">
        <v>5.9668758847228999E-3</v>
      </c>
      <c r="AA19" s="99">
        <v>2.2826252446388101E-4</v>
      </c>
      <c r="AB19" s="99">
        <v>2.9465241171405999E-4</v>
      </c>
      <c r="AC19" s="99">
        <v>3.5392623108289503E-8</v>
      </c>
      <c r="AD19" s="99">
        <v>6.7324519792835696E-3</v>
      </c>
      <c r="AE19" s="99">
        <v>3.9390730491286096E-3</v>
      </c>
      <c r="AF19" s="99">
        <v>7.2899822031361101E-4</v>
      </c>
      <c r="AG19" s="99">
        <v>6.1062637918298402E-4</v>
      </c>
      <c r="AH19" s="99">
        <v>2.5677583954993098E-4</v>
      </c>
      <c r="AI19" s="99">
        <v>1.31745822866119E-4</v>
      </c>
      <c r="AJ19" s="99">
        <v>2.63394244233348E-3</v>
      </c>
      <c r="AK19" s="99">
        <v>4.2161933288184902E-7</v>
      </c>
      <c r="AL19" s="99">
        <v>1.0312397345401099E-5</v>
      </c>
      <c r="AM19" s="99">
        <v>0.78707294387357696</v>
      </c>
    </row>
    <row r="20" spans="1:39" x14ac:dyDescent="0.3">
      <c r="A20" s="99">
        <v>1.2825058412978101</v>
      </c>
      <c r="B20" s="99">
        <v>7.9998230335922402</v>
      </c>
      <c r="C20" s="99">
        <v>3.79537479423142</v>
      </c>
      <c r="D20" s="99">
        <v>0.206354435988993</v>
      </c>
      <c r="E20" s="99">
        <v>1.21705081732038E-2</v>
      </c>
      <c r="F20" s="99">
        <v>3.17885404650339E-5</v>
      </c>
      <c r="G20" s="99">
        <v>3.3800530771101102E-2</v>
      </c>
      <c r="H20" s="99">
        <v>1.18460120261745E-2</v>
      </c>
      <c r="I20" s="99">
        <v>0.74638707835206097</v>
      </c>
      <c r="J20" s="99">
        <v>0.58850019047544799</v>
      </c>
      <c r="K20" s="99">
        <v>4.70055178074585E-2</v>
      </c>
      <c r="L20" s="99">
        <v>4.2216365020669E-2</v>
      </c>
      <c r="M20" s="99">
        <v>4.6374934962186802E-2</v>
      </c>
      <c r="N20" s="99">
        <v>2.93273332300471E-2</v>
      </c>
      <c r="O20" s="99">
        <v>4.5876805234034999E-2</v>
      </c>
      <c r="P20" s="99">
        <v>9.8918482724459703E-3</v>
      </c>
      <c r="Q20" s="99">
        <v>2.0674842495273901E-2</v>
      </c>
      <c r="R20" s="99">
        <v>6.25903075834402E-3</v>
      </c>
      <c r="S20" s="99">
        <v>1.0627818689162599E-2</v>
      </c>
      <c r="T20" s="99">
        <v>1.8426552445162302E-2</v>
      </c>
      <c r="U20" s="99">
        <v>5.6694926863887496E-3</v>
      </c>
      <c r="V20" s="99">
        <v>3.5394774584921701E-3</v>
      </c>
      <c r="W20" s="99">
        <v>1.72166239683664E-3</v>
      </c>
      <c r="X20" s="99">
        <v>2.3774077481759802E-3</v>
      </c>
      <c r="Y20" s="99">
        <v>2.08552178393282E-4</v>
      </c>
      <c r="Z20" s="99">
        <v>6.9482244070187002E-3</v>
      </c>
      <c r="AA20" s="99">
        <v>2.9997475814120899E-4</v>
      </c>
      <c r="AB20" s="99">
        <v>3.8596704719800199E-4</v>
      </c>
      <c r="AC20" s="99">
        <v>6.1837761534450494E-8</v>
      </c>
      <c r="AD20" s="99">
        <v>6.4941066547082897E-3</v>
      </c>
      <c r="AE20" s="99">
        <v>3.8295004946672399E-3</v>
      </c>
      <c r="AF20" s="99">
        <v>7.0871962105647102E-4</v>
      </c>
      <c r="AG20" s="99">
        <v>6.7418662831589499E-4</v>
      </c>
      <c r="AH20" s="99">
        <v>2.5667968801930299E-4</v>
      </c>
      <c r="AI20" s="99">
        <v>1.7883032118085301E-4</v>
      </c>
      <c r="AJ20" s="99">
        <v>4.2909028889624203E-3</v>
      </c>
      <c r="AK20" s="99">
        <v>5.3299624803843101E-7</v>
      </c>
      <c r="AL20" s="99">
        <v>1.5430492933588499E-5</v>
      </c>
      <c r="AM20" s="99">
        <v>0.91986843895883796</v>
      </c>
    </row>
    <row r="21" spans="1:39" x14ac:dyDescent="0.3">
      <c r="A21" s="99">
        <v>1.4952920299663801</v>
      </c>
      <c r="B21" s="99">
        <v>7.7855257389286701</v>
      </c>
      <c r="C21" s="99">
        <v>3.7982065946540802</v>
      </c>
      <c r="D21" s="99">
        <v>0.233486890977678</v>
      </c>
      <c r="E21" s="99">
        <v>1.6191047432669099E-2</v>
      </c>
      <c r="F21" s="99">
        <v>5.8076018634910202E-5</v>
      </c>
      <c r="G21" s="99">
        <v>4.0856313769533303E-2</v>
      </c>
      <c r="H21" s="99">
        <v>1.4422665506805699E-2</v>
      </c>
      <c r="I21" s="99">
        <v>0.73462186952238195</v>
      </c>
      <c r="J21" s="99">
        <v>0.58428540693797404</v>
      </c>
      <c r="K21" s="99">
        <v>5.2627936348424102E-2</v>
      </c>
      <c r="L21" s="99">
        <v>4.7814499311246497E-2</v>
      </c>
      <c r="M21" s="99">
        <v>5.1981745473686301E-2</v>
      </c>
      <c r="N21" s="99">
        <v>3.3258892948483103E-2</v>
      </c>
      <c r="O21" s="99">
        <v>5.10677840992333E-2</v>
      </c>
      <c r="P21" s="99">
        <v>1.0883250023374201E-2</v>
      </c>
      <c r="Q21" s="99">
        <v>2.1755682314527399E-2</v>
      </c>
      <c r="R21" s="99">
        <v>6.6987739466170199E-3</v>
      </c>
      <c r="S21" s="99">
        <v>1.21769275186935E-2</v>
      </c>
      <c r="T21" s="99">
        <v>2.1152707777926001E-2</v>
      </c>
      <c r="U21" s="99">
        <v>7.2432073391562298E-3</v>
      </c>
      <c r="V21" s="99">
        <v>4.4498909235630001E-3</v>
      </c>
      <c r="W21" s="99">
        <v>2.24588322198416E-3</v>
      </c>
      <c r="X21" s="99">
        <v>3.1593260479122099E-3</v>
      </c>
      <c r="Y21" s="99">
        <v>2.9109880890649202E-4</v>
      </c>
      <c r="Z21" s="99">
        <v>7.9909603351721002E-3</v>
      </c>
      <c r="AA21" s="99">
        <v>3.8577497321115898E-4</v>
      </c>
      <c r="AB21" s="99">
        <v>4.9432487995481396E-4</v>
      </c>
      <c r="AC21" s="99">
        <v>1.04045177960083E-7</v>
      </c>
      <c r="AD21" s="99">
        <v>6.2199729725750498E-3</v>
      </c>
      <c r="AE21" s="99">
        <v>3.6998883174707898E-3</v>
      </c>
      <c r="AF21" s="99">
        <v>6.8473239002111205E-4</v>
      </c>
      <c r="AG21" s="99">
        <v>7.3158082009339598E-4</v>
      </c>
      <c r="AH21" s="99">
        <v>2.5515085118924501E-4</v>
      </c>
      <c r="AI21" s="99">
        <v>2.3267393504709401E-4</v>
      </c>
      <c r="AJ21" s="99">
        <v>6.6738768622149501E-3</v>
      </c>
      <c r="AK21" s="99">
        <v>6.5537393250126795E-7</v>
      </c>
      <c r="AL21" s="99">
        <v>2.2349442913384499E-5</v>
      </c>
      <c r="AM21" s="99">
        <v>1.0608719209340001</v>
      </c>
    </row>
    <row r="22" spans="1:39" x14ac:dyDescent="0.3">
      <c r="A22" s="99">
        <v>1.7433825117072199</v>
      </c>
      <c r="B22" s="99">
        <v>7.5622165285146998</v>
      </c>
      <c r="C22" s="99">
        <v>3.8008915528982898</v>
      </c>
      <c r="D22" s="99">
        <v>0.26073888363838099</v>
      </c>
      <c r="E22" s="99">
        <v>2.08218960411371E-2</v>
      </c>
      <c r="F22" s="99">
        <v>1.01380093747784E-4</v>
      </c>
      <c r="G22" s="99">
        <v>4.84145310850684E-2</v>
      </c>
      <c r="H22" s="99">
        <v>1.72498485006451E-2</v>
      </c>
      <c r="I22" s="99">
        <v>0.72106754461329303</v>
      </c>
      <c r="J22" s="99">
        <v>0.57900950474421997</v>
      </c>
      <c r="K22" s="99">
        <v>5.8389325741663202E-2</v>
      </c>
      <c r="L22" s="99">
        <v>5.37161271964363E-2</v>
      </c>
      <c r="M22" s="99">
        <v>5.7786188710706503E-2</v>
      </c>
      <c r="N22" s="99">
        <v>3.7445671062283602E-2</v>
      </c>
      <c r="O22" s="99">
        <v>5.6181729973885902E-2</v>
      </c>
      <c r="P22" s="99">
        <v>1.1603009920117299E-2</v>
      </c>
      <c r="Q22" s="99">
        <v>2.26976427828894E-2</v>
      </c>
      <c r="R22" s="99">
        <v>7.1196857065393198E-3</v>
      </c>
      <c r="S22" s="99">
        <v>1.3783809833522599E-2</v>
      </c>
      <c r="T22" s="99">
        <v>2.40060826664374E-2</v>
      </c>
      <c r="U22" s="99">
        <v>9.1070863524925303E-3</v>
      </c>
      <c r="V22" s="99">
        <v>5.4992279003640296E-3</v>
      </c>
      <c r="W22" s="99">
        <v>2.8658217289821699E-3</v>
      </c>
      <c r="X22" s="99">
        <v>4.0661609946541898E-3</v>
      </c>
      <c r="Y22" s="99">
        <v>3.9496130649050202E-4</v>
      </c>
      <c r="Z22" s="99">
        <v>9.0922223807399297E-3</v>
      </c>
      <c r="AA22" s="99">
        <v>4.8674945271259601E-4</v>
      </c>
      <c r="AB22" s="99">
        <v>6.2069505447756102E-4</v>
      </c>
      <c r="AC22" s="99">
        <v>1.6927014572002099E-7</v>
      </c>
      <c r="AD22" s="99">
        <v>5.9231344532401599E-3</v>
      </c>
      <c r="AE22" s="99">
        <v>3.5571335911888202E-3</v>
      </c>
      <c r="AF22" s="99">
        <v>6.5831311654405804E-4</v>
      </c>
      <c r="AG22" s="99">
        <v>7.8195989122046205E-4</v>
      </c>
      <c r="AH22" s="99">
        <v>2.5247459080545998E-4</v>
      </c>
      <c r="AI22" s="99">
        <v>2.9147742683046101E-4</v>
      </c>
      <c r="AJ22" s="99">
        <v>9.9604025367617394E-3</v>
      </c>
      <c r="AK22" s="99">
        <v>7.8646948718298905E-7</v>
      </c>
      <c r="AL22" s="99">
        <v>3.1447050679541603E-5</v>
      </c>
      <c r="AM22" s="99">
        <v>1.2096516190086899</v>
      </c>
    </row>
    <row r="23" spans="1:39" x14ac:dyDescent="0.3">
      <c r="A23" s="99">
        <v>2.0326347771645201</v>
      </c>
      <c r="B23" s="99">
        <v>7.3302865348094599</v>
      </c>
      <c r="C23" s="99">
        <v>3.8029404870841099</v>
      </c>
      <c r="D23" s="99">
        <v>0.287881121271711</v>
      </c>
      <c r="E23" s="99">
        <v>2.5977229314732099E-2</v>
      </c>
      <c r="F23" s="99">
        <v>1.6993794384808001E-4</v>
      </c>
      <c r="G23" s="99">
        <v>5.6403305336454601E-2</v>
      </c>
      <c r="H23" s="99">
        <v>2.0319394600676902E-2</v>
      </c>
      <c r="I23" s="99">
        <v>0.70614691792119499</v>
      </c>
      <c r="J23" s="99">
        <v>0.57297452574729801</v>
      </c>
      <c r="K23" s="99">
        <v>6.4257887901813193E-2</v>
      </c>
      <c r="L23" s="99">
        <v>5.99123037043666E-2</v>
      </c>
      <c r="M23" s="99">
        <v>6.3765557886276303E-2</v>
      </c>
      <c r="N23" s="99">
        <v>4.18904356982076E-2</v>
      </c>
      <c r="O23" s="99">
        <v>6.11695280051332E-2</v>
      </c>
      <c r="P23" s="99">
        <v>1.2029245198293599E-2</v>
      </c>
      <c r="Q23" s="99">
        <v>2.3538591686729098E-2</v>
      </c>
      <c r="R23" s="99">
        <v>7.5294520237518701E-3</v>
      </c>
      <c r="S23" s="99">
        <v>1.54402453862394E-2</v>
      </c>
      <c r="T23" s="99">
        <v>2.6976540595520099E-2</v>
      </c>
      <c r="U23" s="99">
        <v>1.12871259599803E-2</v>
      </c>
      <c r="V23" s="99">
        <v>6.6915766177749296E-3</v>
      </c>
      <c r="W23" s="99">
        <v>3.5873452018839098E-3</v>
      </c>
      <c r="X23" s="99">
        <v>5.0859540087834802E-3</v>
      </c>
      <c r="Y23" s="99">
        <v>5.2279601822360997E-4</v>
      </c>
      <c r="Z23" s="99">
        <v>1.02500191474007E-2</v>
      </c>
      <c r="AA23" s="99">
        <v>6.03960375544221E-4</v>
      </c>
      <c r="AB23" s="99">
        <v>7.6593613989872503E-4</v>
      </c>
      <c r="AC23" s="99">
        <v>2.67268937431805E-7</v>
      </c>
      <c r="AD23" s="99">
        <v>5.6126057572086401E-3</v>
      </c>
      <c r="AE23" s="99">
        <v>3.4060034576450801E-3</v>
      </c>
      <c r="AF23" s="99">
        <v>6.3034325886637897E-4</v>
      </c>
      <c r="AG23" s="99">
        <v>8.2477568251585398E-4</v>
      </c>
      <c r="AH23" s="99">
        <v>2.4885134820300898E-4</v>
      </c>
      <c r="AI23" s="99">
        <v>3.5303172147851697E-4</v>
      </c>
      <c r="AJ23" s="99">
        <v>1.4330544679617E-2</v>
      </c>
      <c r="AK23" s="99">
        <v>9.2354701661120596E-7</v>
      </c>
      <c r="AL23" s="99">
        <v>4.3128590346175601E-5</v>
      </c>
      <c r="AM23" s="99">
        <v>1.3658679777331</v>
      </c>
    </row>
    <row r="24" spans="1:39" x14ac:dyDescent="0.3">
      <c r="A24" s="99">
        <v>2.3698781590350699</v>
      </c>
      <c r="B24" s="99">
        <v>7.0900835896886498</v>
      </c>
      <c r="C24" s="99">
        <v>3.8039796072494498</v>
      </c>
      <c r="D24" s="99">
        <v>0.314729559445387</v>
      </c>
      <c r="E24" s="99">
        <v>3.1540417791290298E-2</v>
      </c>
      <c r="F24" s="99">
        <v>2.7483313875134699E-4</v>
      </c>
      <c r="G24" s="99">
        <v>6.4762348654170299E-2</v>
      </c>
      <c r="H24" s="99">
        <v>2.3625885814497601E-2</v>
      </c>
      <c r="I24" s="99">
        <v>0.69014506377945395</v>
      </c>
      <c r="J24" s="99">
        <v>0.56637807432662601</v>
      </c>
      <c r="K24" s="99">
        <v>7.0205350516622397E-2</v>
      </c>
      <c r="L24" s="99">
        <v>6.6396699841770698E-2</v>
      </c>
      <c r="M24" s="99">
        <v>6.9900517147597901E-2</v>
      </c>
      <c r="N24" s="99">
        <v>4.6598622972746299E-2</v>
      </c>
      <c r="O24" s="99">
        <v>6.5993026331349194E-2</v>
      </c>
      <c r="P24" s="99">
        <v>1.21709451645176E-2</v>
      </c>
      <c r="Q24" s="99">
        <v>2.4312769170352799E-2</v>
      </c>
      <c r="R24" s="99">
        <v>7.9348908654044495E-3</v>
      </c>
      <c r="S24" s="99">
        <v>1.7139453001953801E-2</v>
      </c>
      <c r="T24" s="99">
        <v>3.0056478325589799E-2</v>
      </c>
      <c r="U24" s="99">
        <v>1.3808910388939E-2</v>
      </c>
      <c r="V24" s="99">
        <v>8.0293343969079708E-3</v>
      </c>
      <c r="W24" s="99">
        <v>4.4157032337498996E-3</v>
      </c>
      <c r="X24" s="99">
        <v>6.2017908597891596E-3</v>
      </c>
      <c r="Y24" s="99">
        <v>6.7721354055015398E-4</v>
      </c>
      <c r="Z24" s="99">
        <v>1.1463413360572499E-2</v>
      </c>
      <c r="AA24" s="99">
        <v>7.3843361949839598E-4</v>
      </c>
      <c r="AB24" s="99">
        <v>9.3077746856365005E-4</v>
      </c>
      <c r="AC24" s="99">
        <v>4.1101422729656302E-7</v>
      </c>
      <c r="AD24" s="99">
        <v>5.2943956850179403E-3</v>
      </c>
      <c r="AE24" s="99">
        <v>3.2496283087528298E-3</v>
      </c>
      <c r="AF24" s="99">
        <v>6.0140362443528096E-4</v>
      </c>
      <c r="AG24" s="99">
        <v>8.5982185994514502E-4</v>
      </c>
      <c r="AH24" s="99">
        <v>2.4442133329491801E-4</v>
      </c>
      <c r="AI24" s="99">
        <v>4.14979202424599E-4</v>
      </c>
      <c r="AJ24" s="99">
        <v>1.99563000791779E-2</v>
      </c>
      <c r="AK24" s="99">
        <v>1.06371105200724E-6</v>
      </c>
      <c r="AL24" s="99">
        <v>5.7817086721899497E-5</v>
      </c>
      <c r="AM24" s="99">
        <v>1.52928618439349</v>
      </c>
    </row>
    <row r="25" spans="1:39" x14ac:dyDescent="0.3">
      <c r="A25" s="99">
        <v>2.7630750746605401</v>
      </c>
      <c r="B25" s="99">
        <v>6.8419921645076798</v>
      </c>
      <c r="C25" s="99">
        <v>3.8037162184301101</v>
      </c>
      <c r="D25" s="99">
        <v>0.34112873678334199</v>
      </c>
      <c r="E25" s="99">
        <v>3.7379447574712503E-2</v>
      </c>
      <c r="F25" s="99">
        <v>4.30465224331562E-4</v>
      </c>
      <c r="G25" s="99">
        <v>7.3443710484898506E-2</v>
      </c>
      <c r="H25" s="99">
        <v>2.7166820963425101E-2</v>
      </c>
      <c r="I25" s="99">
        <v>0.67324387759645399</v>
      </c>
      <c r="J25" s="99">
        <v>0.55933893761917497</v>
      </c>
      <c r="K25" s="99">
        <v>7.6204242640649705E-2</v>
      </c>
      <c r="L25" s="99">
        <v>7.3163498326234505E-2</v>
      </c>
      <c r="M25" s="99">
        <v>7.6172482921115503E-2</v>
      </c>
      <c r="N25" s="99">
        <v>5.1577079981960497E-2</v>
      </c>
      <c r="O25" s="99">
        <v>7.0616957007533607E-2</v>
      </c>
      <c r="P25" s="99">
        <v>1.2059955961314E-2</v>
      </c>
      <c r="Q25" s="99">
        <v>2.50458966033223E-2</v>
      </c>
      <c r="R25" s="99">
        <v>8.3407960937876297E-3</v>
      </c>
      <c r="S25" s="99">
        <v>1.8875299697979998E-2</v>
      </c>
      <c r="T25" s="99">
        <v>3.32395043290322E-2</v>
      </c>
      <c r="U25" s="99">
        <v>1.6698018081906501E-2</v>
      </c>
      <c r="V25" s="99">
        <v>9.5132831323361602E-3</v>
      </c>
      <c r="W25" s="99">
        <v>5.3556483375523404E-3</v>
      </c>
      <c r="X25" s="99">
        <v>7.3945179784640396E-3</v>
      </c>
      <c r="Y25" s="99">
        <v>8.6079690460868997E-4</v>
      </c>
      <c r="Z25" s="99">
        <v>1.2732059093246499E-2</v>
      </c>
      <c r="AA25" s="99">
        <v>8.9118358710846995E-4</v>
      </c>
      <c r="AB25" s="99">
        <v>1.11584073684938E-3</v>
      </c>
      <c r="AC25" s="99">
        <v>6.1738368592946695E-7</v>
      </c>
      <c r="AD25" s="99">
        <v>4.97326010361416E-3</v>
      </c>
      <c r="AE25" s="99">
        <v>3.0903520801944199E-3</v>
      </c>
      <c r="AF25" s="99">
        <v>5.7192635416604496E-4</v>
      </c>
      <c r="AG25" s="99">
        <v>8.8680328627770003E-4</v>
      </c>
      <c r="AH25" s="99">
        <v>2.3927261989056001E-4</v>
      </c>
      <c r="AI25" s="99">
        <v>4.7474182070567501E-4</v>
      </c>
      <c r="AJ25" s="99">
        <v>2.6993166606156801E-2</v>
      </c>
      <c r="AK25" s="99">
        <v>1.20443171989415E-6</v>
      </c>
      <c r="AL25" s="99">
        <v>7.5955886563515703E-5</v>
      </c>
      <c r="AM25" s="99">
        <v>1.6997052137080599</v>
      </c>
    </row>
    <row r="26" spans="1:39" x14ac:dyDescent="0.3">
      <c r="A26" s="99">
        <v>3.2215090210877602</v>
      </c>
      <c r="B26" s="99">
        <v>6.58642171429213</v>
      </c>
      <c r="C26" s="99">
        <v>3.8019072384333601</v>
      </c>
      <c r="D26" s="99">
        <v>0.36694167067526601</v>
      </c>
      <c r="E26" s="99">
        <v>4.3355942919235599E-2</v>
      </c>
      <c r="F26" s="99">
        <v>6.5527216779209102E-4</v>
      </c>
      <c r="G26" s="99">
        <v>8.2409566300719703E-2</v>
      </c>
      <c r="H26" s="99">
        <v>3.0941698247842601E-2</v>
      </c>
      <c r="I26" s="99">
        <v>0.65556650185292398</v>
      </c>
      <c r="J26" s="99">
        <v>0.55192642769899003</v>
      </c>
      <c r="K26" s="99">
        <v>8.2227696047850102E-2</v>
      </c>
      <c r="L26" s="99">
        <v>8.0207174903458203E-2</v>
      </c>
      <c r="M26" s="99">
        <v>8.2563377834533005E-2</v>
      </c>
      <c r="N26" s="99">
        <v>5.6834010601056403E-2</v>
      </c>
      <c r="O26" s="99">
        <v>7.5014535729220802E-2</v>
      </c>
      <c r="P26" s="99">
        <v>1.1744727809125201E-2</v>
      </c>
      <c r="Q26" s="99">
        <v>2.5756354516009199E-2</v>
      </c>
      <c r="R26" s="99">
        <v>8.7505047525862096E-3</v>
      </c>
      <c r="S26" s="99">
        <v>2.06421058667152E-2</v>
      </c>
      <c r="T26" s="99">
        <v>3.6520093608997599E-2</v>
      </c>
      <c r="U26" s="99">
        <v>1.9979803479975401E-2</v>
      </c>
      <c r="V26" s="99">
        <v>1.1142544322995E-2</v>
      </c>
      <c r="W26" s="99">
        <v>6.4113573471608802E-3</v>
      </c>
      <c r="X26" s="99">
        <v>8.6443350752922494E-3</v>
      </c>
      <c r="Y26" s="99">
        <v>1.0761106739811399E-3</v>
      </c>
      <c r="Z26" s="99">
        <v>1.4056083795517E-2</v>
      </c>
      <c r="AA26" s="99">
        <v>1.0632091117510601E-3</v>
      </c>
      <c r="AB26" s="99">
        <v>1.32163231246396E-3</v>
      </c>
      <c r="AC26" s="99">
        <v>9.0823065411406301E-7</v>
      </c>
      <c r="AD26" s="99">
        <v>4.6522671995265098E-3</v>
      </c>
      <c r="AE26" s="99">
        <v>2.9296362218079802E-3</v>
      </c>
      <c r="AF26" s="99">
        <v>5.4218296039243105E-4</v>
      </c>
      <c r="AG26" s="99">
        <v>9.0578566895209705E-4</v>
      </c>
      <c r="AH26" s="99">
        <v>2.33473523363333E-4</v>
      </c>
      <c r="AI26" s="99">
        <v>5.3014206019648695E-4</v>
      </c>
      <c r="AJ26" s="99">
        <v>3.5573398222101697E-2</v>
      </c>
      <c r="AK26" s="99">
        <v>1.34297272458467E-6</v>
      </c>
      <c r="AL26" s="99">
        <v>9.8001882681148197E-5</v>
      </c>
      <c r="AM26" s="99">
        <v>1.87693549272822</v>
      </c>
    </row>
    <row r="27" spans="1:39" x14ac:dyDescent="0.3">
      <c r="A27" s="99">
        <v>3.7560037612169599</v>
      </c>
      <c r="B27" s="99">
        <v>6.3238086829555202</v>
      </c>
      <c r="C27" s="99">
        <v>3.7983364041800298</v>
      </c>
      <c r="D27" s="99">
        <v>0.39205097052069399</v>
      </c>
      <c r="E27" s="99">
        <v>4.9337551340104299E-2</v>
      </c>
      <c r="F27" s="99">
        <v>9.7238530138000297E-4</v>
      </c>
      <c r="G27" s="99">
        <v>9.1630794945522495E-2</v>
      </c>
      <c r="H27" s="99">
        <v>3.4951635951622803E-2</v>
      </c>
      <c r="I27" s="99">
        <v>0.63719526808573601</v>
      </c>
      <c r="J27" s="99">
        <v>0.54418008836740395</v>
      </c>
      <c r="K27" s="99">
        <v>8.8249355136558905E-2</v>
      </c>
      <c r="L27" s="99">
        <v>8.7522257494727099E-2</v>
      </c>
      <c r="M27" s="99">
        <v>8.9055409189887094E-2</v>
      </c>
      <c r="N27" s="99">
        <v>6.23789073532326E-2</v>
      </c>
      <c r="O27" s="99">
        <v>7.9162322427368495E-2</v>
      </c>
      <c r="P27" s="99">
        <v>1.1281596637837E-2</v>
      </c>
      <c r="Q27" s="99">
        <v>2.6455856173416E-2</v>
      </c>
      <c r="R27" s="99">
        <v>9.1660901894555103E-3</v>
      </c>
      <c r="S27" s="99">
        <v>2.2434544356484599E-2</v>
      </c>
      <c r="T27" s="99">
        <v>3.9893375643236903E-2</v>
      </c>
      <c r="U27" s="99">
        <v>2.36793790998212E-2</v>
      </c>
      <c r="V27" s="99">
        <v>1.2914542886992401E-2</v>
      </c>
      <c r="W27" s="99">
        <v>7.5863846630878596E-3</v>
      </c>
      <c r="X27" s="99">
        <v>9.9328811527971891E-3</v>
      </c>
      <c r="Y27" s="99">
        <v>1.3256907581052301E-3</v>
      </c>
      <c r="Z27" s="99">
        <v>1.54360122516059E-2</v>
      </c>
      <c r="AA27" s="99">
        <v>1.25549820520583E-3</v>
      </c>
      <c r="AB27" s="99">
        <v>1.54854318142053E-3</v>
      </c>
      <c r="AC27" s="99">
        <v>1.31152247600689E-6</v>
      </c>
      <c r="AD27" s="99">
        <v>4.3341399038663402E-3</v>
      </c>
      <c r="AE27" s="99">
        <v>2.7687211686692899E-3</v>
      </c>
      <c r="AF27" s="99">
        <v>5.12402742723353E-4</v>
      </c>
      <c r="AG27" s="99">
        <v>9.1684129367549999E-4</v>
      </c>
      <c r="AH27" s="99">
        <v>2.2707941768007999E-4</v>
      </c>
      <c r="AI27" s="99">
        <v>5.7922265410974597E-4</v>
      </c>
      <c r="AJ27" s="99">
        <v>4.5800126282840303E-2</v>
      </c>
      <c r="AK27" s="99">
        <v>1.47689663438688E-6</v>
      </c>
      <c r="AL27" s="99">
        <v>1.2442259646995601E-4</v>
      </c>
      <c r="AM27" s="99">
        <v>2.0607843313744998</v>
      </c>
    </row>
    <row r="28" spans="1:39" x14ac:dyDescent="0.3">
      <c r="A28" s="99">
        <v>4.3791788760884698</v>
      </c>
      <c r="B28" s="99">
        <v>6.0545899143967397</v>
      </c>
      <c r="C28" s="99">
        <v>3.7927998214217502</v>
      </c>
      <c r="D28" s="99">
        <v>0.41635885227140501</v>
      </c>
      <c r="E28" s="99">
        <v>5.5208072646550699E-2</v>
      </c>
      <c r="F28" s="99">
        <v>1.41034388334549E-3</v>
      </c>
      <c r="G28" s="99">
        <v>0.101085848351332</v>
      </c>
      <c r="H28" s="99">
        <v>3.9199149874611899E-2</v>
      </c>
      <c r="I28" s="99">
        <v>0.61818190454824595</v>
      </c>
      <c r="J28" s="99">
        <v>0.536122894916644</v>
      </c>
      <c r="K28" s="99">
        <v>9.4244139630098894E-2</v>
      </c>
      <c r="L28" s="99">
        <v>9.5103808651438596E-2</v>
      </c>
      <c r="M28" s="99">
        <v>9.56317426489591E-2</v>
      </c>
      <c r="N28" s="99">
        <v>6.8223016912740506E-2</v>
      </c>
      <c r="O28" s="99">
        <v>8.3042782592031905E-2</v>
      </c>
      <c r="P28" s="99">
        <v>1.07265619982575E-2</v>
      </c>
      <c r="Q28" s="99">
        <v>2.7151247361888401E-2</v>
      </c>
      <c r="R28" s="99">
        <v>9.5888550818154002E-3</v>
      </c>
      <c r="S28" s="99">
        <v>2.4247774374260501E-2</v>
      </c>
      <c r="T28" s="99">
        <v>4.3355349503457298E-2</v>
      </c>
      <c r="U28" s="99">
        <v>2.78216288856915E-2</v>
      </c>
      <c r="V28" s="99">
        <v>1.48251054597872E-2</v>
      </c>
      <c r="W28" s="99">
        <v>8.8836443594696706E-3</v>
      </c>
      <c r="X28" s="99">
        <v>1.12448911574143E-2</v>
      </c>
      <c r="Y28" s="99">
        <v>1.61203316869062E-3</v>
      </c>
      <c r="Z28" s="99">
        <v>1.6872863080395099E-2</v>
      </c>
      <c r="AA28" s="99">
        <v>1.46904034227114E-3</v>
      </c>
      <c r="AB28" s="99">
        <v>1.79685975360263E-3</v>
      </c>
      <c r="AC28" s="99">
        <v>1.86272610871902E-6</v>
      </c>
      <c r="AD28" s="99">
        <v>4.0210200334193499E-3</v>
      </c>
      <c r="AE28" s="99">
        <v>2.6085802751505999E-3</v>
      </c>
      <c r="AF28" s="99">
        <v>4.8276568965945299E-4</v>
      </c>
      <c r="AG28" s="99">
        <v>9.2020166547335605E-4</v>
      </c>
      <c r="AH28" s="99">
        <v>2.20145275176733E-4</v>
      </c>
      <c r="AI28" s="99">
        <v>6.2053627310286897E-4</v>
      </c>
      <c r="AJ28" s="99">
        <v>5.7743469801425099E-2</v>
      </c>
      <c r="AK28" s="99">
        <v>1.6039573101576999E-6</v>
      </c>
      <c r="AL28" s="99">
        <v>1.5569169498192499E-4</v>
      </c>
      <c r="AM28" s="99">
        <v>2.2510647645309301</v>
      </c>
    </row>
    <row r="29" spans="1:39" x14ac:dyDescent="0.3">
      <c r="A29" s="99">
        <v>5.1057477169740597</v>
      </c>
      <c r="B29" s="99">
        <v>5.7792636642312001</v>
      </c>
      <c r="C29" s="99">
        <v>3.7850940056316098</v>
      </c>
      <c r="D29" s="99">
        <v>0.43977424070458898</v>
      </c>
      <c r="E29" s="99">
        <v>6.0871929043626802E-2</v>
      </c>
      <c r="F29" s="99">
        <v>2.0039828293958598E-3</v>
      </c>
      <c r="G29" s="99">
        <v>0.11075665537252601</v>
      </c>
      <c r="H29" s="99">
        <v>4.3687140512188902E-2</v>
      </c>
      <c r="I29" s="99">
        <v>0.59855976859086601</v>
      </c>
      <c r="J29" s="99">
        <v>0.52776906358701703</v>
      </c>
      <c r="K29" s="99">
        <v>0.10018632791898099</v>
      </c>
      <c r="L29" s="99">
        <v>0.10294570288223701</v>
      </c>
      <c r="M29" s="99">
        <v>0.10227474712885901</v>
      </c>
      <c r="N29" s="99">
        <v>7.4378462821586097E-2</v>
      </c>
      <c r="O29" s="99">
        <v>8.6643013335858998E-2</v>
      </c>
      <c r="P29" s="99">
        <v>1.01281492082502E-2</v>
      </c>
      <c r="Q29" s="99">
        <v>2.7845932801797001E-2</v>
      </c>
      <c r="R29" s="99">
        <v>1.0019680216197599E-2</v>
      </c>
      <c r="S29" s="99">
        <v>2.6076887624184999E-2</v>
      </c>
      <c r="T29" s="99">
        <v>4.6901999266784802E-2</v>
      </c>
      <c r="U29" s="99">
        <v>3.2431139521906197E-2</v>
      </c>
      <c r="V29" s="99">
        <v>1.6868441346509101E-2</v>
      </c>
      <c r="W29" s="99">
        <v>1.03053531221274E-2</v>
      </c>
      <c r="X29" s="99">
        <v>1.25688274859533E-2</v>
      </c>
      <c r="Y29" s="99">
        <v>1.9376034412778001E-3</v>
      </c>
      <c r="Z29" s="99">
        <v>1.8367869409674598E-2</v>
      </c>
      <c r="AA29" s="99">
        <v>1.70483524325892E-3</v>
      </c>
      <c r="AB29" s="99">
        <v>2.0667630336773002E-3</v>
      </c>
      <c r="AC29" s="99">
        <v>2.6066038256114502E-6</v>
      </c>
      <c r="AD29" s="99">
        <v>3.7143673286369298E-3</v>
      </c>
      <c r="AE29" s="99">
        <v>2.4499018342396999E-3</v>
      </c>
      <c r="AF29" s="99">
        <v>4.5339931161743802E-4</v>
      </c>
      <c r="AG29" s="99">
        <v>9.1626749566899295E-4</v>
      </c>
      <c r="AH29" s="99">
        <v>2.12726747581572E-4</v>
      </c>
      <c r="AI29" s="99">
        <v>6.5326408499401104E-4</v>
      </c>
      <c r="AJ29" s="99">
        <v>7.1441491133150403E-2</v>
      </c>
      <c r="AK29" s="99">
        <v>1.72211318473131E-6</v>
      </c>
      <c r="AL29" s="99">
        <v>1.9228765521825801E-4</v>
      </c>
      <c r="AM29" s="99">
        <v>2.4475530497376701</v>
      </c>
    </row>
    <row r="30" spans="1:39" x14ac:dyDescent="0.3">
      <c r="A30" s="99">
        <v>5.9528647920111002</v>
      </c>
      <c r="B30" s="99">
        <v>5.4984353372185302</v>
      </c>
      <c r="C30" s="99">
        <v>3.7750087998287101</v>
      </c>
      <c r="D30" s="99">
        <v>0.46220781314771298</v>
      </c>
      <c r="E30" s="99">
        <v>6.62541956711893E-2</v>
      </c>
      <c r="F30" s="99">
        <v>2.7954495176814799E-3</v>
      </c>
      <c r="G30" s="99">
        <v>0.12062546862231401</v>
      </c>
      <c r="H30" s="99">
        <v>4.8418116722279102E-2</v>
      </c>
      <c r="I30" s="99">
        <v>0.57835101644654097</v>
      </c>
      <c r="J30" s="99">
        <v>0.51912935940868099</v>
      </c>
      <c r="K30" s="99">
        <v>0.106048390471516</v>
      </c>
      <c r="L30" s="99">
        <v>0.11103918829659901</v>
      </c>
      <c r="M30" s="99">
        <v>0.108964850568572</v>
      </c>
      <c r="N30" s="99">
        <v>8.0857555303165102E-2</v>
      </c>
      <c r="O30" s="99">
        <v>8.9952206447918098E-2</v>
      </c>
      <c r="P30" s="99">
        <v>9.5242826879717007E-3</v>
      </c>
      <c r="Q30" s="99">
        <v>2.85411198520109E-2</v>
      </c>
      <c r="R30" s="99">
        <v>1.0459208068814599E-2</v>
      </c>
      <c r="S30" s="99">
        <v>2.7916527480181998E-2</v>
      </c>
      <c r="T30" s="99">
        <v>5.0528657458746899E-2</v>
      </c>
      <c r="U30" s="99">
        <v>3.7531798424864898E-2</v>
      </c>
      <c r="V30" s="99">
        <v>1.9036913666157201E-2</v>
      </c>
      <c r="W30" s="99">
        <v>1.1852820640552601E-2</v>
      </c>
      <c r="X30" s="99">
        <v>1.3896733286445801E-2</v>
      </c>
      <c r="Y30" s="99">
        <v>2.3047986503760098E-3</v>
      </c>
      <c r="Z30" s="99">
        <v>1.9922285371971701E-2</v>
      </c>
      <c r="AA30" s="99">
        <v>1.9638855291548001E-3</v>
      </c>
      <c r="AB30" s="99">
        <v>2.3583021756484199E-3</v>
      </c>
      <c r="AC30" s="99">
        <v>3.59938915951161E-6</v>
      </c>
      <c r="AD30" s="99">
        <v>3.41543197835001E-3</v>
      </c>
      <c r="AE30" s="99">
        <v>2.2932950055685698E-3</v>
      </c>
      <c r="AF30" s="99">
        <v>4.2441638567103601E-4</v>
      </c>
      <c r="AG30" s="99">
        <v>9.0549476190550197E-4</v>
      </c>
      <c r="AH30" s="99">
        <v>2.0488151700836599E-4</v>
      </c>
      <c r="AI30" s="99">
        <v>6.7703580096259398E-4</v>
      </c>
      <c r="AJ30" s="99">
        <v>8.6900684505715295E-2</v>
      </c>
      <c r="AK30" s="99">
        <v>1.82963626943466E-6</v>
      </c>
      <c r="AL30" s="99">
        <v>2.3469185465062E-4</v>
      </c>
      <c r="AM30" s="99">
        <v>2.6499567326683899</v>
      </c>
    </row>
    <row r="31" spans="1:39" x14ac:dyDescent="0.3">
      <c r="A31" s="99">
        <v>6.9405307892821302</v>
      </c>
      <c r="B31" s="99">
        <v>5.2128140184065197</v>
      </c>
      <c r="C31" s="99">
        <v>3.7623254779423099</v>
      </c>
      <c r="D31" s="99">
        <v>0.48357435609917798</v>
      </c>
      <c r="E31" s="99">
        <v>7.1299573691594703E-2</v>
      </c>
      <c r="F31" s="99">
        <v>3.8353097687441199E-3</v>
      </c>
      <c r="G31" s="99">
        <v>0.13067400500617599</v>
      </c>
      <c r="H31" s="99">
        <v>5.3394052167496299E-2</v>
      </c>
      <c r="I31" s="99">
        <v>0.55756868657446601</v>
      </c>
      <c r="J31" s="99">
        <v>0.51021374237711103</v>
      </c>
      <c r="K31" s="99">
        <v>0.11180136878535001</v>
      </c>
      <c r="L31" s="99">
        <v>0.11937261202267101</v>
      </c>
      <c r="M31" s="99">
        <v>0.115680833044758</v>
      </c>
      <c r="N31" s="99">
        <v>8.7672886965114202E-2</v>
      </c>
      <c r="O31" s="99">
        <v>9.2961943103637701E-2</v>
      </c>
      <c r="P31" s="99">
        <v>8.9418770320778794E-3</v>
      </c>
      <c r="Q31" s="99">
        <v>2.9236792148401899E-2</v>
      </c>
      <c r="R31" s="99">
        <v>1.09079934976764E-2</v>
      </c>
      <c r="S31" s="99">
        <v>2.9760909128865299E-2</v>
      </c>
      <c r="T31" s="99">
        <v>5.4230023792233503E-2</v>
      </c>
      <c r="U31" s="99">
        <v>4.3146361365345401E-2</v>
      </c>
      <c r="V31" s="99">
        <v>2.13209233699783E-2</v>
      </c>
      <c r="W31" s="99">
        <v>1.35262372772871E-2</v>
      </c>
      <c r="X31" s="99">
        <v>1.52239279042382E-2</v>
      </c>
      <c r="Y31" s="99">
        <v>2.71588090393333E-3</v>
      </c>
      <c r="Z31" s="99">
        <v>2.1537432219997901E-2</v>
      </c>
      <c r="AA31" s="99">
        <v>2.24719511454579E-3</v>
      </c>
      <c r="AB31" s="99">
        <v>2.6713749515214799E-3</v>
      </c>
      <c r="AC31" s="99">
        <v>4.9113845132191598E-6</v>
      </c>
      <c r="AD31" s="99">
        <v>3.12531078074414E-3</v>
      </c>
      <c r="AE31" s="99">
        <v>2.1393203925099201E-3</v>
      </c>
      <c r="AF31" s="99">
        <v>3.9592056377338899E-4</v>
      </c>
      <c r="AG31" s="99">
        <v>8.8838038413221402E-4</v>
      </c>
      <c r="AH31" s="99">
        <v>1.96669660308472E-4</v>
      </c>
      <c r="AI31" s="99">
        <v>6.9184221044624704E-4</v>
      </c>
      <c r="AJ31" s="99">
        <v>0.10409521870882001</v>
      </c>
      <c r="AK31" s="99">
        <v>1.92515071640757E-6</v>
      </c>
      <c r="AL31" s="99">
        <v>2.8338412607379802E-4</v>
      </c>
      <c r="AM31" s="99">
        <v>2.8579147481304901</v>
      </c>
    </row>
    <row r="32" spans="1:39" x14ac:dyDescent="0.3">
      <c r="A32" s="99">
        <v>8.0920647990560592</v>
      </c>
      <c r="B32" s="99">
        <v>4.9232148591798603</v>
      </c>
      <c r="C32" s="99">
        <v>3.7468168148449301</v>
      </c>
      <c r="D32" s="99">
        <v>0.50379352359776197</v>
      </c>
      <c r="E32" s="99">
        <v>7.5969941368392205E-2</v>
      </c>
      <c r="F32" s="99">
        <v>5.1837782757363001E-3</v>
      </c>
      <c r="G32" s="99">
        <v>0.14088275593514901</v>
      </c>
      <c r="H32" s="99">
        <v>5.8616280651146803E-2</v>
      </c>
      <c r="I32" s="99">
        <v>0.53621915589875901</v>
      </c>
      <c r="J32" s="99">
        <v>0.50103209503413104</v>
      </c>
      <c r="K32" s="99">
        <v>0.117415071890885</v>
      </c>
      <c r="L32" s="99">
        <v>0.12793092745545701</v>
      </c>
      <c r="M32" s="99">
        <v>0.122399952698635</v>
      </c>
      <c r="N32" s="99">
        <v>9.4837342350456599E-2</v>
      </c>
      <c r="O32" s="99">
        <v>9.5666402395086406E-2</v>
      </c>
      <c r="P32" s="99">
        <v>8.3978196412984596E-3</v>
      </c>
      <c r="Q32" s="99">
        <v>2.9932275655534801E-2</v>
      </c>
      <c r="R32" s="99">
        <v>1.1366587173632099E-2</v>
      </c>
      <c r="S32" s="99">
        <v>3.16037883744563E-2</v>
      </c>
      <c r="T32" s="99">
        <v>5.8000097411858298E-2</v>
      </c>
      <c r="U32" s="99">
        <v>4.9296011434619702E-2</v>
      </c>
      <c r="V32" s="99">
        <v>2.37088533314351E-2</v>
      </c>
      <c r="W32" s="99">
        <v>1.53244574376453E-2</v>
      </c>
      <c r="X32" s="99">
        <v>1.6548486022514301E-2</v>
      </c>
      <c r="Y32" s="99">
        <v>3.1728996243287201E-3</v>
      </c>
      <c r="Z32" s="99">
        <v>2.3214724348420101E-2</v>
      </c>
      <c r="AA32" s="99">
        <v>2.5557729280232802E-3</v>
      </c>
      <c r="AB32" s="99">
        <v>3.0057114960068401E-3</v>
      </c>
      <c r="AC32" s="99">
        <v>6.6301066930769096E-6</v>
      </c>
      <c r="AD32" s="99">
        <v>2.84495722824658E-3</v>
      </c>
      <c r="AE32" s="99">
        <v>1.9884842459398501E-3</v>
      </c>
      <c r="AF32" s="99">
        <v>3.68005561381993E-4</v>
      </c>
      <c r="AG32" s="99">
        <v>8.6546144323731305E-4</v>
      </c>
      <c r="AH32" s="99">
        <v>1.8815316087620601E-4</v>
      </c>
      <c r="AI32" s="99">
        <v>6.9796201996956105E-4</v>
      </c>
      <c r="AJ32" s="99">
        <v>0.12296651548879101</v>
      </c>
      <c r="AK32" s="99">
        <v>2.0076346194146802E-6</v>
      </c>
      <c r="AL32" s="99">
        <v>3.3883864148121997E-4</v>
      </c>
      <c r="AM32" s="99">
        <v>3.07099408791886</v>
      </c>
    </row>
    <row r="33" spans="1:39" x14ac:dyDescent="0.3">
      <c r="A33" s="99">
        <v>9.4346548844998406</v>
      </c>
      <c r="B33" s="99">
        <v>4.6306452349546001</v>
      </c>
      <c r="C33" s="99">
        <v>3.7282474190086301</v>
      </c>
      <c r="D33" s="99">
        <v>0.52277965032488105</v>
      </c>
      <c r="E33" s="99">
        <v>8.0238757134716301E-2</v>
      </c>
      <c r="F33" s="99">
        <v>6.9123111456390902E-3</v>
      </c>
      <c r="G33" s="99">
        <v>0.15122753578600101</v>
      </c>
      <c r="H33" s="99">
        <v>6.4084302989870001E-2</v>
      </c>
      <c r="I33" s="99">
        <v>0.514312688926579</v>
      </c>
      <c r="J33" s="99">
        <v>0.491595708170109</v>
      </c>
      <c r="K33" s="99">
        <v>0.12285602625605201</v>
      </c>
      <c r="L33" s="99">
        <v>0.136692904607742</v>
      </c>
      <c r="M33" s="99">
        <v>0.129095838258041</v>
      </c>
      <c r="N33" s="99">
        <v>0.102362602014513</v>
      </c>
      <c r="O33" s="99">
        <v>9.8061736490275705E-2</v>
      </c>
      <c r="P33" s="99">
        <v>7.9009884437140007E-3</v>
      </c>
      <c r="Q33" s="99">
        <v>3.0626342512760401E-2</v>
      </c>
      <c r="R33" s="99">
        <v>1.1835494242132301E-2</v>
      </c>
      <c r="S33" s="99">
        <v>3.3437810566673998E-2</v>
      </c>
      <c r="T33" s="99">
        <v>6.1831016765740203E-2</v>
      </c>
      <c r="U33" s="99">
        <v>5.5999198187558198E-2</v>
      </c>
      <c r="V33" s="99">
        <v>2.6186562225002499E-2</v>
      </c>
      <c r="W33" s="99">
        <v>1.7244514822348501E-2</v>
      </c>
      <c r="X33" s="99">
        <v>1.7870166384619902E-2</v>
      </c>
      <c r="Y33" s="99">
        <v>3.6775742893442299E-3</v>
      </c>
      <c r="Z33" s="99">
        <v>2.4955294581646199E-2</v>
      </c>
      <c r="AA33" s="99">
        <v>2.89060172802983E-3</v>
      </c>
      <c r="AB33" s="99">
        <v>3.36080520819295E-3</v>
      </c>
      <c r="AC33" s="99">
        <v>8.8643663968622608E-6</v>
      </c>
      <c r="AD33" s="99">
        <v>2.57490926892282E-3</v>
      </c>
      <c r="AE33" s="99">
        <v>1.8411175247494401E-3</v>
      </c>
      <c r="AF33" s="99">
        <v>3.40732643325342E-4</v>
      </c>
      <c r="AG33" s="99">
        <v>8.3734390797592399E-4</v>
      </c>
      <c r="AH33" s="99">
        <v>1.7939186942658001E-4</v>
      </c>
      <c r="AI33" s="99">
        <v>6.9595581909822105E-4</v>
      </c>
      <c r="AJ33" s="99">
        <v>0.143420985305099</v>
      </c>
      <c r="AK33" s="99">
        <v>2.0763710643146598E-6</v>
      </c>
      <c r="AL33" s="99">
        <v>4.01518281278608E-4</v>
      </c>
      <c r="AM33" s="99">
        <v>3.2886288343436001</v>
      </c>
    </row>
    <row r="34" spans="1:39" x14ac:dyDescent="0.3">
      <c r="A34" s="99">
        <v>11</v>
      </c>
      <c r="B34" s="99">
        <v>4.3362337565484301</v>
      </c>
      <c r="C34" s="99">
        <v>3.70637726407349</v>
      </c>
      <c r="D34" s="99">
        <v>0.540455723523939</v>
      </c>
      <c r="E34" s="99">
        <v>8.4090528408948095E-2</v>
      </c>
      <c r="F34" s="99">
        <v>9.1049671311221707E-3</v>
      </c>
      <c r="G34" s="99">
        <v>0.16168179137354999</v>
      </c>
      <c r="H34" s="99">
        <v>6.9796627117626506E-2</v>
      </c>
      <c r="I34" s="99">
        <v>0.49185867807508798</v>
      </c>
      <c r="J34" s="99">
        <v>0.48191734331425201</v>
      </c>
      <c r="K34" s="99">
        <v>0.128089977776188</v>
      </c>
      <c r="L34" s="99">
        <v>0.14563232543770399</v>
      </c>
      <c r="M34" s="99">
        <v>0.13574070628728099</v>
      </c>
      <c r="N34" s="99">
        <v>0.11026029189655701</v>
      </c>
      <c r="O34" s="99">
        <v>0.100145673081749</v>
      </c>
      <c r="P34" s="99">
        <v>7.4546543881403903E-3</v>
      </c>
      <c r="Q34" s="99">
        <v>3.1317583962261503E-2</v>
      </c>
      <c r="R34" s="99">
        <v>1.23152244795415E-2</v>
      </c>
      <c r="S34" s="99">
        <v>3.5255076008556999E-2</v>
      </c>
      <c r="T34" s="99">
        <v>6.5713925069495194E-2</v>
      </c>
      <c r="U34" s="99">
        <v>6.3271250354866193E-2</v>
      </c>
      <c r="V34" s="99">
        <v>2.8737628432046601E-2</v>
      </c>
      <c r="W34" s="99">
        <v>1.9281437882776399E-2</v>
      </c>
      <c r="X34" s="99">
        <v>1.91902666105561E-2</v>
      </c>
      <c r="Y34" s="99">
        <v>4.2311585784992299E-3</v>
      </c>
      <c r="Z34" s="99">
        <v>2.67603610384902E-2</v>
      </c>
      <c r="AA34" s="99">
        <v>3.2526608769989401E-3</v>
      </c>
      <c r="AB34" s="99">
        <v>3.73591874249156E-3</v>
      </c>
      <c r="AC34" s="99">
        <v>1.1748773571113099E-5</v>
      </c>
      <c r="AD34" s="99">
        <v>2.3159884398318898E-3</v>
      </c>
      <c r="AE34" s="99">
        <v>1.6976722419178099E-3</v>
      </c>
      <c r="AF34" s="99">
        <v>3.1418545423610498E-4</v>
      </c>
      <c r="AG34" s="99">
        <v>8.0459713585324E-4</v>
      </c>
      <c r="AH34" s="99">
        <v>1.7044861447852201E-4</v>
      </c>
      <c r="AI34" s="99">
        <v>6.8641704069432599E-4</v>
      </c>
      <c r="AJ34" s="99">
        <v>0.16532775370905101</v>
      </c>
      <c r="AK34" s="99">
        <v>2.1309988387263301E-6</v>
      </c>
      <c r="AL34" s="99">
        <v>4.71868492087115E-4</v>
      </c>
      <c r="AM34" s="99">
        <v>3.5101642897933401</v>
      </c>
    </row>
    <row r="35" spans="1:39" x14ac:dyDescent="0.3">
      <c r="A35" s="99">
        <v>12.825058412978199</v>
      </c>
      <c r="B35" s="99">
        <v>4.0410610471375303</v>
      </c>
      <c r="C35" s="99">
        <v>3.6809661066831501</v>
      </c>
      <c r="D35" s="99">
        <v>0.55677069735400397</v>
      </c>
      <c r="E35" s="99">
        <v>8.7522546234209006E-2</v>
      </c>
      <c r="F35" s="99">
        <v>1.18594535696094E-2</v>
      </c>
      <c r="G35" s="99">
        <v>0.172222200283348</v>
      </c>
      <c r="H35" s="99">
        <v>7.5753107626273505E-2</v>
      </c>
      <c r="I35" s="99">
        <v>0.46885575008173702</v>
      </c>
      <c r="J35" s="99">
        <v>0.47200779748740501</v>
      </c>
      <c r="K35" s="99">
        <v>0.13308645039504599</v>
      </c>
      <c r="L35" s="99">
        <v>0.15472181991613199</v>
      </c>
      <c r="M35" s="99">
        <v>0.14230984409282299</v>
      </c>
      <c r="N35" s="99">
        <v>0.118545022409101</v>
      </c>
      <c r="O35" s="99">
        <v>0.101920734295181</v>
      </c>
      <c r="P35" s="99">
        <v>7.0580253968571104E-3</v>
      </c>
      <c r="Q35" s="99">
        <v>3.2004955047269898E-2</v>
      </c>
      <c r="R35" s="99">
        <v>1.28065146932617E-2</v>
      </c>
      <c r="S35" s="99">
        <v>3.7048334711933799E-2</v>
      </c>
      <c r="T35" s="99">
        <v>6.9640995289166702E-2</v>
      </c>
      <c r="U35" s="99">
        <v>7.1125401290055498E-2</v>
      </c>
      <c r="V35" s="99">
        <v>3.1344598403160798E-2</v>
      </c>
      <c r="W35" s="99">
        <v>2.1428616009293799E-2</v>
      </c>
      <c r="X35" s="99">
        <v>2.0511929458352601E-2</v>
      </c>
      <c r="Y35" s="99">
        <v>4.8343891412763202E-3</v>
      </c>
      <c r="Z35" s="99">
        <v>2.8632061487780001E-2</v>
      </c>
      <c r="AA35" s="99">
        <v>3.6430328642137002E-3</v>
      </c>
      <c r="AB35" s="99">
        <v>4.1302001101750398E-3</v>
      </c>
      <c r="AC35" s="99">
        <v>1.5448743404626701E-5</v>
      </c>
      <c r="AD35" s="99">
        <v>2.0692694383449201E-3</v>
      </c>
      <c r="AE35" s="99">
        <v>1.55869669133918E-3</v>
      </c>
      <c r="AF35" s="99">
        <v>2.8846547113427098E-4</v>
      </c>
      <c r="AG35" s="99">
        <v>7.6779818761810105E-4</v>
      </c>
      <c r="AH35" s="99">
        <v>1.61390877963099E-4</v>
      </c>
      <c r="AI35" s="99">
        <v>6.6999471546072705E-4</v>
      </c>
      <c r="AJ35" s="99">
        <v>0.18852287190412401</v>
      </c>
      <c r="AK35" s="99">
        <v>2.1715440835736402E-6</v>
      </c>
      <c r="AL35" s="99">
        <v>5.5031978735387997E-4</v>
      </c>
      <c r="AM35" s="99">
        <v>3.73497034562013</v>
      </c>
    </row>
    <row r="36" spans="1:39" x14ac:dyDescent="0.3">
      <c r="A36" s="99">
        <v>14.9529202996638</v>
      </c>
      <c r="B36" s="99">
        <v>3.74640045313242</v>
      </c>
      <c r="C36" s="99">
        <v>3.6517746991829898</v>
      </c>
      <c r="D36" s="99">
        <v>0.57166923573748796</v>
      </c>
      <c r="E36" s="99">
        <v>9.0535554619971703E-2</v>
      </c>
      <c r="F36" s="99">
        <v>1.52894066039588E-2</v>
      </c>
      <c r="G36" s="99">
        <v>0.18281990515122901</v>
      </c>
      <c r="H36" s="99">
        <v>8.19517105620792E-2</v>
      </c>
      <c r="I36" s="99">
        <v>0.44531558016802097</v>
      </c>
      <c r="J36" s="99">
        <v>0.46188019810738701</v>
      </c>
      <c r="K36" s="99">
        <v>0.13781257243666301</v>
      </c>
      <c r="L36" s="99">
        <v>0.163925746321673</v>
      </c>
      <c r="M36" s="99">
        <v>0.148775326374324</v>
      </c>
      <c r="N36" s="99">
        <v>0.12723006363976599</v>
      </c>
      <c r="O36" s="99">
        <v>0.10339142596376</v>
      </c>
      <c r="P36" s="99">
        <v>6.7083155836521599E-3</v>
      </c>
      <c r="Q36" s="99">
        <v>3.2687187328633002E-2</v>
      </c>
      <c r="R36" s="99">
        <v>1.33100705508959E-2</v>
      </c>
      <c r="S36" s="99">
        <v>3.8809217655458202E-2</v>
      </c>
      <c r="T36" s="99">
        <v>7.3602227388085098E-2</v>
      </c>
      <c r="U36" s="99">
        <v>7.9570212600311996E-2</v>
      </c>
      <c r="V36" s="99">
        <v>3.3987685111787402E-2</v>
      </c>
      <c r="W36" s="99">
        <v>2.3676803780109001E-2</v>
      </c>
      <c r="X36" s="99">
        <v>2.1838404377781E-2</v>
      </c>
      <c r="Y36" s="99">
        <v>5.48726192677375E-3</v>
      </c>
      <c r="Z36" s="99">
        <v>3.0572328820553E-2</v>
      </c>
      <c r="AA36" s="99">
        <v>4.0628127524839804E-3</v>
      </c>
      <c r="AB36" s="99">
        <v>4.5425171327413798E-3</v>
      </c>
      <c r="AC36" s="99">
        <v>2.0167959232110001E-5</v>
      </c>
      <c r="AD36" s="99">
        <v>1.83543148692675E-3</v>
      </c>
      <c r="AE36" s="99">
        <v>1.42456155676574E-3</v>
      </c>
      <c r="AF36" s="99">
        <v>2.6364129177873697E-4</v>
      </c>
      <c r="AG36" s="99">
        <v>7.2758926517836695E-4</v>
      </c>
      <c r="AH36" s="99">
        <v>1.52282378364557E-4</v>
      </c>
      <c r="AI36" s="99">
        <v>6.4749235059573403E-4</v>
      </c>
      <c r="AJ36" s="99">
        <v>0.21280317803649801</v>
      </c>
      <c r="AK36" s="99">
        <v>2.1982793204591699E-6</v>
      </c>
      <c r="AL36" s="99">
        <v>6.3728143110202199E-4</v>
      </c>
      <c r="AM36" s="99">
        <v>3.9622745465732501</v>
      </c>
    </row>
    <row r="37" spans="1:39" x14ac:dyDescent="0.3">
      <c r="A37" s="99">
        <v>17.433825117072299</v>
      </c>
      <c r="B37" s="99">
        <v>3.4535751259096799</v>
      </c>
      <c r="C37" s="99">
        <v>3.6185649636325499</v>
      </c>
      <c r="D37" s="99">
        <v>0.58511102193584996</v>
      </c>
      <c r="E37" s="99">
        <v>9.3135757438244704E-2</v>
      </c>
      <c r="F37" s="99">
        <v>1.9525549009200699E-2</v>
      </c>
      <c r="G37" s="99">
        <v>0.19344556892297701</v>
      </c>
      <c r="H37" s="99">
        <v>8.8390698831206704E-2</v>
      </c>
      <c r="I37" s="99">
        <v>0.42123897196328502</v>
      </c>
      <c r="J37" s="99">
        <v>0.451554918195331</v>
      </c>
      <c r="K37" s="99">
        <v>0.14223757759335701</v>
      </c>
      <c r="L37" s="99">
        <v>0.173203336958941</v>
      </c>
      <c r="M37" s="99">
        <v>0.15511015701108299</v>
      </c>
      <c r="N37" s="99">
        <v>0.13632997493732399</v>
      </c>
      <c r="O37" s="99">
        <v>0.10456515572182901</v>
      </c>
      <c r="P37" s="99">
        <v>6.4024068104091602E-3</v>
      </c>
      <c r="Q37" s="99">
        <v>3.3363285323836901E-2</v>
      </c>
      <c r="R37" s="99">
        <v>1.3826570630624899E-2</v>
      </c>
      <c r="S37" s="99">
        <v>4.05294102962971E-2</v>
      </c>
      <c r="T37" s="99">
        <v>7.7587263853152899E-2</v>
      </c>
      <c r="U37" s="99">
        <v>8.8610228227094995E-2</v>
      </c>
      <c r="V37" s="99">
        <v>3.6645752013698803E-2</v>
      </c>
      <c r="W37" s="99">
        <v>2.60142565562832E-2</v>
      </c>
      <c r="X37" s="99">
        <v>2.31734821248148E-2</v>
      </c>
      <c r="Y37" s="99">
        <v>6.1888492745919297E-3</v>
      </c>
      <c r="Z37" s="99">
        <v>3.2583646546031797E-2</v>
      </c>
      <c r="AA37" s="99">
        <v>4.5132042597628898E-3</v>
      </c>
      <c r="AB37" s="99">
        <v>4.9715405741301002E-3</v>
      </c>
      <c r="AC37" s="99">
        <v>2.6155508148783301E-5</v>
      </c>
      <c r="AD37" s="99">
        <v>1.61582863907711E-3</v>
      </c>
      <c r="AE37" s="99">
        <v>1.29593758232983E-3</v>
      </c>
      <c r="AF37" s="99">
        <v>2.39837072612676E-4</v>
      </c>
      <c r="AG37" s="99">
        <v>6.8461510072550602E-4</v>
      </c>
      <c r="AH37" s="99">
        <v>1.4320218942043299E-4</v>
      </c>
      <c r="AI37" s="99">
        <v>6.1967021361339304E-4</v>
      </c>
      <c r="AJ37" s="99">
        <v>0.23792767450609401</v>
      </c>
      <c r="AK37" s="99">
        <v>2.2117771982979801E-6</v>
      </c>
      <c r="AL37" s="99">
        <v>7.3314735733454397E-4</v>
      </c>
      <c r="AM37" s="99">
        <v>4.1912645994078899</v>
      </c>
    </row>
    <row r="38" spans="1:39" x14ac:dyDescent="0.3">
      <c r="A38" s="99">
        <v>20.326347771645199</v>
      </c>
      <c r="B38" s="99">
        <v>3.1642217785666999</v>
      </c>
      <c r="C38" s="99">
        <v>3.5811302211963101</v>
      </c>
      <c r="D38" s="99">
        <v>0.59704103794750496</v>
      </c>
      <c r="E38" s="99">
        <v>9.5329743950535895E-2</v>
      </c>
      <c r="F38" s="99">
        <v>2.47185163493794E-2</v>
      </c>
      <c r="G38" s="99">
        <v>0.20405910939671101</v>
      </c>
      <c r="H38" s="99">
        <v>9.5063800230133694E-2</v>
      </c>
      <c r="I38" s="99">
        <v>0.39668524669300798</v>
      </c>
      <c r="J38" s="99">
        <v>0.44104100665134499</v>
      </c>
      <c r="K38" s="99">
        <v>0.14632552540655</v>
      </c>
      <c r="L38" s="99">
        <v>0.182499750882364</v>
      </c>
      <c r="M38" s="99">
        <v>0.16128087713013201</v>
      </c>
      <c r="N38" s="99">
        <v>0.14585496457140801</v>
      </c>
      <c r="O38" s="99">
        <v>0.105449656480865</v>
      </c>
      <c r="P38" s="99">
        <v>6.1353500210022203E-3</v>
      </c>
      <c r="Q38" s="99">
        <v>3.4031479362643398E-2</v>
      </c>
      <c r="R38" s="99">
        <v>1.4356893346609299E-2</v>
      </c>
      <c r="S38" s="99">
        <v>4.2198515807736099E-2</v>
      </c>
      <c r="T38" s="99">
        <v>8.1581452629104295E-2</v>
      </c>
      <c r="U38" s="99">
        <v>9.8241097799354596E-2</v>
      </c>
      <c r="V38" s="99">
        <v>3.9294388155827899E-2</v>
      </c>
      <c r="W38" s="99">
        <v>2.8425193380414999E-2</v>
      </c>
      <c r="X38" s="99">
        <v>2.4520067537313599E-2</v>
      </c>
      <c r="Y38" s="99">
        <v>6.9369962485200604E-3</v>
      </c>
      <c r="Z38" s="99">
        <v>3.4667646888592502E-2</v>
      </c>
      <c r="AA38" s="99">
        <v>4.9953503186873204E-3</v>
      </c>
      <c r="AB38" s="99">
        <v>5.4154795173344704E-3</v>
      </c>
      <c r="AC38" s="99">
        <v>3.3718277918148E-5</v>
      </c>
      <c r="AD38" s="99">
        <v>1.4098821973991601E-3</v>
      </c>
      <c r="AE38" s="99">
        <v>1.1726116298284199E-3</v>
      </c>
      <c r="AF38" s="99">
        <v>2.1701335209340299E-4</v>
      </c>
      <c r="AG38" s="99">
        <v>6.3952675425769695E-4</v>
      </c>
      <c r="AH38" s="99">
        <v>1.34184067984067E-4</v>
      </c>
      <c r="AI38" s="99">
        <v>5.8750053507163795E-4</v>
      </c>
      <c r="AJ38" s="99">
        <v>0.263602139163928</v>
      </c>
      <c r="AK38" s="99">
        <v>2.2127810354842201E-6</v>
      </c>
      <c r="AL38" s="99">
        <v>8.3826728930941395E-4</v>
      </c>
      <c r="AM38" s="99">
        <v>4.4208721837231302</v>
      </c>
    </row>
    <row r="39" spans="1:39" x14ac:dyDescent="0.3">
      <c r="A39" s="99">
        <v>23.698781590350698</v>
      </c>
      <c r="B39" s="99">
        <v>2.879971412263</v>
      </c>
      <c r="C39" s="99">
        <v>3.5392796943907801</v>
      </c>
      <c r="D39" s="99">
        <v>0.60742633273589997</v>
      </c>
      <c r="E39" s="99">
        <v>9.7129413305508797E-2</v>
      </c>
      <c r="F39" s="99">
        <v>3.10391021195984E-2</v>
      </c>
      <c r="G39" s="99">
        <v>0.21462071102967101</v>
      </c>
      <c r="H39" s="99">
        <v>0.101965363893236</v>
      </c>
      <c r="I39" s="99">
        <v>0.37170722805133199</v>
      </c>
      <c r="J39" s="99">
        <v>0.43036119797169597</v>
      </c>
      <c r="K39" s="99">
        <v>0.15004448468687201</v>
      </c>
      <c r="L39" s="99">
        <v>0.19175441215535499</v>
      </c>
      <c r="M39" s="99">
        <v>0.16725614845724401</v>
      </c>
      <c r="N39" s="99">
        <v>0.15581657282386399</v>
      </c>
      <c r="O39" s="99">
        <v>0.106055969173878</v>
      </c>
      <c r="P39" s="99">
        <v>5.9029595912007899E-3</v>
      </c>
      <c r="Q39" s="99">
        <v>3.4690513895412098E-2</v>
      </c>
      <c r="R39" s="99">
        <v>1.49017689732095E-2</v>
      </c>
      <c r="S39" s="99">
        <v>4.3806688225631198E-2</v>
      </c>
      <c r="T39" s="99">
        <v>8.55699959947024E-2</v>
      </c>
      <c r="U39" s="99">
        <v>0.108451846165384</v>
      </c>
      <c r="V39" s="99">
        <v>4.19082180272288E-2</v>
      </c>
      <c r="W39" s="99">
        <v>3.0890733394455701E-2</v>
      </c>
      <c r="X39" s="99">
        <v>2.5881289991663701E-2</v>
      </c>
      <c r="Y39" s="99">
        <v>7.7282122809477303E-3</v>
      </c>
      <c r="Z39" s="99">
        <v>3.6826646960903403E-2</v>
      </c>
      <c r="AA39" s="99">
        <v>5.5105308799997497E-3</v>
      </c>
      <c r="AB39" s="99">
        <v>5.87232704163268E-3</v>
      </c>
      <c r="AC39" s="99">
        <v>4.3231239115294202E-5</v>
      </c>
      <c r="AD39" s="99">
        <v>1.2184092037906E-3</v>
      </c>
      <c r="AE39" s="99">
        <v>1.05500547137077E-3</v>
      </c>
      <c r="AF39" s="99">
        <v>1.952481583496E-4</v>
      </c>
      <c r="AG39" s="99">
        <v>5.9299276676641705E-4</v>
      </c>
      <c r="AH39" s="99">
        <v>1.2529300905202701E-4</v>
      </c>
      <c r="AI39" s="99">
        <v>5.5184761972630202E-4</v>
      </c>
      <c r="AJ39" s="99">
        <v>0.28948941103394399</v>
      </c>
      <c r="AK39" s="99">
        <v>2.2022818985072701E-6</v>
      </c>
      <c r="AL39" s="99">
        <v>9.5296121313093597E-4</v>
      </c>
      <c r="AM39" s="99">
        <v>4.6500138461805003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A0B0-B549-4FED-BB3C-5D5C263ADA10}">
  <dimension ref="B2:AU56"/>
  <sheetViews>
    <sheetView topLeftCell="F8" zoomScale="85" zoomScaleNormal="85" workbookViewId="0">
      <selection activeCell="R10" sqref="R10"/>
    </sheetView>
  </sheetViews>
  <sheetFormatPr defaultColWidth="8.88671875" defaultRowHeight="14.4" x14ac:dyDescent="0.3"/>
  <cols>
    <col min="1" max="39" width="6.109375" style="48" customWidth="1"/>
    <col min="40" max="40" width="6.88671875" style="48" bestFit="1" customWidth="1"/>
    <col min="41" max="41" width="8.88671875" style="48"/>
    <col min="42" max="42" width="20.5546875" style="48" bestFit="1" customWidth="1"/>
    <col min="43" max="43" width="6.6640625" style="48" customWidth="1"/>
    <col min="44" max="44" width="12.109375" style="48" bestFit="1" customWidth="1"/>
    <col min="45" max="45" width="18.5546875" style="48" bestFit="1" customWidth="1"/>
    <col min="46" max="46" width="14.109375" style="48" bestFit="1" customWidth="1"/>
    <col min="47" max="47" width="8.88671875" style="48"/>
    <col min="48" max="48" width="17.5546875" style="48" bestFit="1" customWidth="1"/>
    <col min="49" max="16384" width="8.88671875" style="48"/>
  </cols>
  <sheetData>
    <row r="2" spans="2:47" x14ac:dyDescent="0.3">
      <c r="C2" s="112" t="s">
        <v>191</v>
      </c>
      <c r="D2" s="112"/>
      <c r="E2" s="112"/>
      <c r="F2" s="112"/>
      <c r="G2" s="112"/>
      <c r="H2" s="112"/>
    </row>
    <row r="3" spans="2:47" ht="15.6" x14ac:dyDescent="0.3">
      <c r="C3" s="113" t="s">
        <v>192</v>
      </c>
      <c r="D3" s="113"/>
      <c r="E3" s="113"/>
      <c r="F3" s="113"/>
      <c r="G3" s="113"/>
      <c r="H3" s="113"/>
      <c r="J3" s="49"/>
    </row>
    <row r="4" spans="2:47" ht="15.6" x14ac:dyDescent="0.3">
      <c r="C4" s="114" t="s">
        <v>193</v>
      </c>
      <c r="D4" s="114"/>
      <c r="E4" s="114"/>
      <c r="F4" s="114"/>
      <c r="G4" s="114"/>
      <c r="H4" s="114"/>
      <c r="J4" s="49"/>
    </row>
    <row r="5" spans="2:47" x14ac:dyDescent="0.3">
      <c r="C5" s="115" t="s">
        <v>194</v>
      </c>
      <c r="D5" s="115"/>
      <c r="E5" s="115"/>
      <c r="F5" s="115"/>
      <c r="G5" s="115"/>
      <c r="H5" s="115"/>
      <c r="J5" s="49"/>
    </row>
    <row r="6" spans="2:47" ht="15.6" x14ac:dyDescent="0.3">
      <c r="C6" s="116" t="s">
        <v>195</v>
      </c>
      <c r="D6" s="116"/>
      <c r="E6" s="116"/>
      <c r="F6" s="116"/>
      <c r="G6" s="116"/>
      <c r="H6" s="116"/>
      <c r="J6" s="49"/>
    </row>
    <row r="7" spans="2:47" ht="15.6" x14ac:dyDescent="0.3">
      <c r="C7" s="111" t="s">
        <v>196</v>
      </c>
      <c r="D7" s="111"/>
      <c r="E7" s="111"/>
      <c r="F7" s="111"/>
      <c r="G7" s="111"/>
      <c r="H7" s="111"/>
      <c r="J7" s="49"/>
    </row>
    <row r="9" spans="2:47" ht="15.6" x14ac:dyDescent="0.3">
      <c r="B9" s="48" t="s">
        <v>197</v>
      </c>
      <c r="C9" s="50"/>
      <c r="D9" s="50"/>
      <c r="E9" s="50"/>
      <c r="F9" s="50"/>
      <c r="G9" s="50"/>
      <c r="H9" s="50"/>
      <c r="I9" s="50">
        <f>+EXP(-SUMPRODUCT(I12:I51,$AS$12:$AS$51)/(598.15*8.314))</f>
        <v>3.1874277372382731</v>
      </c>
      <c r="J9" s="50">
        <f t="shared" ref="J9:Y9" si="0">+EXP(-SUMPRODUCT(J12:J51,$AS$12:$AS$51)/(598.15*8.314))</f>
        <v>0.88381162724783857</v>
      </c>
      <c r="K9" s="50">
        <f t="shared" si="0"/>
        <v>5.4141754410719924</v>
      </c>
      <c r="L9" s="50">
        <f t="shared" si="0"/>
        <v>9.111087109314175</v>
      </c>
      <c r="M9" s="50">
        <f t="shared" si="0"/>
        <v>30.471220425635153</v>
      </c>
      <c r="N9" s="50">
        <f t="shared" si="0"/>
        <v>25.149198149641496</v>
      </c>
      <c r="O9" s="50">
        <f t="shared" si="0"/>
        <v>1.2412416079084425</v>
      </c>
      <c r="P9" s="50"/>
      <c r="Q9" s="50">
        <f t="shared" si="0"/>
        <v>0.38543432312862808</v>
      </c>
      <c r="R9" s="50">
        <v>1</v>
      </c>
      <c r="S9" s="50">
        <f t="shared" si="0"/>
        <v>0.87237423634015898</v>
      </c>
      <c r="T9" s="50"/>
      <c r="U9" s="50"/>
      <c r="V9" s="50">
        <f t="shared" si="0"/>
        <v>12.905554962296309</v>
      </c>
      <c r="W9" s="50">
        <f t="shared" si="0"/>
        <v>10.447665224441236</v>
      </c>
      <c r="X9" s="50">
        <f t="shared" si="0"/>
        <v>7.968658833956086</v>
      </c>
      <c r="Y9" s="50">
        <f t="shared" si="0"/>
        <v>54.205417742328613</v>
      </c>
      <c r="Z9" s="50">
        <f>+EXP(-SUMPRODUCT(Z12:Z51,$AS$12:$AS$51)/(598.15*8.314))</f>
        <v>5.708132944658348</v>
      </c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>+EXP(-SUMPRODUCT(AK12:AK51,$AS$12:$AS$51)/(598.15*8.314))</f>
        <v>0.40574880137375741</v>
      </c>
      <c r="AL9" s="50"/>
      <c r="AM9" s="50">
        <f>+EXP(-SUMPRODUCT(AM12:AM51,$AS$12:$AS$51)/(598.15*8.314))</f>
        <v>0.87237423634015898</v>
      </c>
    </row>
    <row r="11" spans="2:47" ht="15.6" x14ac:dyDescent="0.3">
      <c r="C11" s="51" t="s">
        <v>78</v>
      </c>
      <c r="D11" s="51" t="s">
        <v>79</v>
      </c>
      <c r="E11" s="51" t="s">
        <v>80</v>
      </c>
      <c r="F11" s="51" t="s">
        <v>81</v>
      </c>
      <c r="G11" s="51" t="s">
        <v>82</v>
      </c>
      <c r="H11" s="51" t="s">
        <v>83</v>
      </c>
      <c r="I11" s="52" t="s">
        <v>84</v>
      </c>
      <c r="J11" s="52" t="s">
        <v>85</v>
      </c>
      <c r="K11" s="53" t="s">
        <v>86</v>
      </c>
      <c r="L11" s="53" t="s">
        <v>87</v>
      </c>
      <c r="M11" s="53" t="s">
        <v>88</v>
      </c>
      <c r="N11" s="53" t="s">
        <v>89</v>
      </c>
      <c r="O11" s="52" t="s">
        <v>90</v>
      </c>
      <c r="P11" s="51" t="s">
        <v>91</v>
      </c>
      <c r="Q11" s="52" t="s">
        <v>92</v>
      </c>
      <c r="R11" s="52" t="s">
        <v>93</v>
      </c>
      <c r="S11" s="52" t="s">
        <v>94</v>
      </c>
      <c r="T11" s="54" t="s">
        <v>95</v>
      </c>
      <c r="U11" s="54" t="s">
        <v>96</v>
      </c>
      <c r="V11" s="53" t="s">
        <v>97</v>
      </c>
      <c r="W11" s="53" t="s">
        <v>98</v>
      </c>
      <c r="X11" s="53" t="s">
        <v>99</v>
      </c>
      <c r="Y11" s="53" t="s">
        <v>100</v>
      </c>
      <c r="Z11" s="53" t="s">
        <v>101</v>
      </c>
      <c r="AA11" s="54" t="s">
        <v>102</v>
      </c>
      <c r="AB11" s="54" t="s">
        <v>103</v>
      </c>
      <c r="AC11" s="54" t="s">
        <v>104</v>
      </c>
      <c r="AD11" s="51" t="s">
        <v>105</v>
      </c>
      <c r="AE11" s="55" t="s">
        <v>198</v>
      </c>
      <c r="AF11" s="55" t="s">
        <v>199</v>
      </c>
      <c r="AG11" s="55" t="s">
        <v>200</v>
      </c>
      <c r="AH11" s="55" t="s">
        <v>201</v>
      </c>
      <c r="AI11" s="55" t="s">
        <v>202</v>
      </c>
      <c r="AJ11" s="55" t="s">
        <v>203</v>
      </c>
      <c r="AK11" s="52" t="s">
        <v>204</v>
      </c>
      <c r="AL11" s="55" t="s">
        <v>205</v>
      </c>
      <c r="AM11" s="52" t="s">
        <v>206</v>
      </c>
      <c r="AP11" s="44" t="s">
        <v>139</v>
      </c>
      <c r="AQ11" s="44" t="s">
        <v>54</v>
      </c>
      <c r="AR11" s="44" t="s">
        <v>137</v>
      </c>
      <c r="AS11" s="44" t="s">
        <v>207</v>
      </c>
      <c r="AT11" s="44" t="s">
        <v>138</v>
      </c>
      <c r="AU11" s="44"/>
    </row>
    <row r="12" spans="2:47" x14ac:dyDescent="0.3"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-1</v>
      </c>
      <c r="J12" s="56">
        <v>0</v>
      </c>
      <c r="K12" s="56">
        <v>-1</v>
      </c>
      <c r="L12" s="56">
        <v>0</v>
      </c>
      <c r="M12" s="56">
        <v>-1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-1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48" t="s">
        <v>106</v>
      </c>
      <c r="AP12" s="48" t="s">
        <v>6</v>
      </c>
      <c r="AQ12" s="48">
        <v>2</v>
      </c>
      <c r="AR12" s="48">
        <v>46.07</v>
      </c>
      <c r="AS12" s="57">
        <f>+Thermochemistry!R9</f>
        <v>-109605.68974572999</v>
      </c>
      <c r="AT12" s="48">
        <v>17.16</v>
      </c>
      <c r="AU12" s="48" t="str">
        <f>+AN12</f>
        <v>%E</v>
      </c>
    </row>
    <row r="13" spans="2:47" x14ac:dyDescent="0.3"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-1</v>
      </c>
      <c r="K13" s="56">
        <v>0</v>
      </c>
      <c r="L13" s="56">
        <v>-1</v>
      </c>
      <c r="M13" s="56">
        <v>0</v>
      </c>
      <c r="N13" s="56">
        <v>-1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-1</v>
      </c>
      <c r="W13" s="56">
        <v>0</v>
      </c>
      <c r="X13" s="56">
        <v>0</v>
      </c>
      <c r="Y13" s="56">
        <v>-1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48" t="s">
        <v>107</v>
      </c>
      <c r="AP13" s="48" t="s">
        <v>15</v>
      </c>
      <c r="AQ13" s="48">
        <v>4</v>
      </c>
      <c r="AR13" s="48">
        <v>74.12</v>
      </c>
      <c r="AS13" s="57">
        <f>+Thermochemistry!R11</f>
        <v>-41188.993721749801</v>
      </c>
      <c r="AT13" s="48">
        <v>10.9</v>
      </c>
      <c r="AU13" s="48" t="str">
        <f t="shared" ref="AU13:AU51" si="1">+AN13</f>
        <v>%B</v>
      </c>
    </row>
    <row r="14" spans="2:47" x14ac:dyDescent="0.3"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-1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-1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48" t="s">
        <v>108</v>
      </c>
      <c r="AP14" s="48" t="s">
        <v>29</v>
      </c>
      <c r="AQ14" s="48">
        <v>6</v>
      </c>
      <c r="AR14" s="48">
        <v>102.18</v>
      </c>
      <c r="AS14" s="57">
        <f>+Thermochemistry!R13</f>
        <v>27290.004966778099</v>
      </c>
      <c r="AT14" s="48">
        <v>8.02</v>
      </c>
      <c r="AU14" s="48" t="str">
        <f t="shared" si="1"/>
        <v>%H</v>
      </c>
    </row>
    <row r="15" spans="2:47" x14ac:dyDescent="0.3"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-1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48" t="s">
        <v>109</v>
      </c>
      <c r="AP15" s="48" t="s">
        <v>39</v>
      </c>
      <c r="AQ15" s="48">
        <v>8</v>
      </c>
      <c r="AR15" s="48">
        <v>130.22999999999999</v>
      </c>
      <c r="AS15" s="57">
        <f>+Thermochemistry!R15</f>
        <v>95971.970038019703</v>
      </c>
      <c r="AT15" s="48">
        <v>6.37</v>
      </c>
      <c r="AU15" s="48" t="str">
        <f t="shared" si="1"/>
        <v>%O</v>
      </c>
    </row>
    <row r="16" spans="2:47" x14ac:dyDescent="0.3"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-1</v>
      </c>
      <c r="AL16" s="56">
        <v>0</v>
      </c>
      <c r="AM16" s="56">
        <v>0</v>
      </c>
      <c r="AN16" s="48" t="s">
        <v>110</v>
      </c>
      <c r="AP16" s="48" t="s">
        <v>46</v>
      </c>
      <c r="AQ16" s="48">
        <v>10</v>
      </c>
      <c r="AR16" s="48">
        <v>158.28</v>
      </c>
      <c r="AS16" s="57">
        <f>+Thermochemistry!R17</f>
        <v>164552.665547754</v>
      </c>
      <c r="AT16" s="48">
        <v>5.21</v>
      </c>
      <c r="AU16" s="48" t="str">
        <f t="shared" si="1"/>
        <v>%D</v>
      </c>
    </row>
    <row r="17" spans="3:47" x14ac:dyDescent="0.3"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-1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-1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48" t="s">
        <v>111</v>
      </c>
      <c r="AP17" s="48" t="s">
        <v>26</v>
      </c>
      <c r="AQ17" s="48">
        <v>6</v>
      </c>
      <c r="AR17" s="48">
        <v>102.18</v>
      </c>
      <c r="AS17" s="57">
        <f>+Thermochemistry!R19</f>
        <v>33014.946437832499</v>
      </c>
      <c r="AT17" s="48">
        <v>8.18</v>
      </c>
      <c r="AU17" s="48" t="str">
        <f t="shared" si="1"/>
        <v>%2EB</v>
      </c>
    </row>
    <row r="18" spans="3:47" x14ac:dyDescent="0.3"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-1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48" t="s">
        <v>112</v>
      </c>
      <c r="AP18" s="48" t="s">
        <v>208</v>
      </c>
      <c r="AQ18" s="48">
        <v>8</v>
      </c>
      <c r="AR18" s="48">
        <v>130.22999999999999</v>
      </c>
      <c r="AS18" s="57">
        <f>+Thermochemistry!S21</f>
        <v>91945</v>
      </c>
      <c r="AT18" s="48">
        <v>6.4</v>
      </c>
      <c r="AU18" s="48" t="str">
        <f t="shared" si="1"/>
        <v>%2EH</v>
      </c>
    </row>
    <row r="19" spans="3:47" x14ac:dyDescent="0.3">
      <c r="C19" s="56">
        <v>-2</v>
      </c>
      <c r="D19" s="56">
        <v>-1</v>
      </c>
      <c r="E19" s="56">
        <v>-1</v>
      </c>
      <c r="F19" s="56">
        <v>-1</v>
      </c>
      <c r="G19" s="56">
        <v>-1</v>
      </c>
      <c r="H19" s="56">
        <v>-1</v>
      </c>
      <c r="I19" s="56">
        <v>1</v>
      </c>
      <c r="J19" s="56">
        <v>0</v>
      </c>
      <c r="K19" s="56">
        <v>-1</v>
      </c>
      <c r="L19" s="56">
        <v>-1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-2</v>
      </c>
      <c r="U19" s="56">
        <v>-1</v>
      </c>
      <c r="V19" s="56">
        <v>0</v>
      </c>
      <c r="W19" s="56">
        <v>0</v>
      </c>
      <c r="X19" s="56">
        <v>-1</v>
      </c>
      <c r="Y19" s="56">
        <v>0</v>
      </c>
      <c r="Z19" s="56">
        <v>-1</v>
      </c>
      <c r="AA19" s="56">
        <v>0</v>
      </c>
      <c r="AB19" s="56">
        <v>0</v>
      </c>
      <c r="AC19" s="56">
        <v>-1</v>
      </c>
      <c r="AD19" s="56">
        <v>0</v>
      </c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48" t="s">
        <v>113</v>
      </c>
      <c r="AP19" s="48" t="s">
        <v>3</v>
      </c>
      <c r="AQ19" s="48">
        <v>2</v>
      </c>
      <c r="AR19" s="48">
        <v>44.05</v>
      </c>
      <c r="AS19" s="57">
        <f>+Thermochemistry!R23</f>
        <v>-111917.48430004</v>
      </c>
      <c r="AT19" s="48">
        <v>17.73</v>
      </c>
      <c r="AU19" s="48" t="str">
        <f t="shared" si="1"/>
        <v>%A</v>
      </c>
    </row>
    <row r="20" spans="3:47" x14ac:dyDescent="0.3">
      <c r="C20" s="56">
        <v>0</v>
      </c>
      <c r="D20" s="56">
        <v>-1</v>
      </c>
      <c r="E20" s="56">
        <v>-1</v>
      </c>
      <c r="F20" s="56">
        <v>0</v>
      </c>
      <c r="G20" s="56">
        <v>0</v>
      </c>
      <c r="H20" s="56">
        <v>0</v>
      </c>
      <c r="I20" s="56">
        <v>0</v>
      </c>
      <c r="J20" s="56">
        <v>1</v>
      </c>
      <c r="K20" s="56">
        <v>0</v>
      </c>
      <c r="L20" s="56">
        <v>0</v>
      </c>
      <c r="M20" s="56">
        <v>-1</v>
      </c>
      <c r="N20" s="56">
        <v>-1</v>
      </c>
      <c r="O20" s="56">
        <v>0</v>
      </c>
      <c r="P20" s="56">
        <v>-2</v>
      </c>
      <c r="Q20" s="56">
        <v>0</v>
      </c>
      <c r="R20" s="56">
        <v>0</v>
      </c>
      <c r="S20" s="56">
        <v>0</v>
      </c>
      <c r="T20" s="56">
        <v>0</v>
      </c>
      <c r="U20" s="56">
        <v>-1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-2</v>
      </c>
      <c r="AB20" s="56">
        <v>-1</v>
      </c>
      <c r="AC20" s="56">
        <v>0</v>
      </c>
      <c r="AD20" s="56">
        <v>0</v>
      </c>
      <c r="AE20" s="56">
        <v>1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48" t="s">
        <v>114</v>
      </c>
      <c r="AP20" s="48" t="s">
        <v>10</v>
      </c>
      <c r="AQ20" s="48">
        <v>4</v>
      </c>
      <c r="AR20" s="48">
        <v>72.11</v>
      </c>
      <c r="AS20" s="57">
        <f>+Thermochemistry!R25</f>
        <v>-37121.769516602799</v>
      </c>
      <c r="AT20" s="48">
        <v>11.13</v>
      </c>
      <c r="AU20" s="48" t="str">
        <f t="shared" si="1"/>
        <v>%Bal</v>
      </c>
    </row>
    <row r="21" spans="3:47" x14ac:dyDescent="0.3"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1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48" t="s">
        <v>115</v>
      </c>
      <c r="AP21" s="48" t="s">
        <v>11</v>
      </c>
      <c r="AQ21" s="48">
        <v>4</v>
      </c>
      <c r="AR21" s="48">
        <v>88.11</v>
      </c>
      <c r="AS21" s="57">
        <f>+Thermochemistry!R27</f>
        <v>-226469.70572868499</v>
      </c>
      <c r="AT21" s="48">
        <v>10.210000000000001</v>
      </c>
      <c r="AU21" s="48" t="str">
        <f t="shared" si="1"/>
        <v>%EA</v>
      </c>
    </row>
    <row r="22" spans="3:47" x14ac:dyDescent="0.3"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1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48" t="s">
        <v>116</v>
      </c>
      <c r="AP22" s="48" t="s">
        <v>24</v>
      </c>
      <c r="AQ22" s="48">
        <v>6</v>
      </c>
      <c r="AR22" s="48">
        <v>116.16</v>
      </c>
      <c r="AS22" s="57">
        <f>+Thermochemistry!R29</f>
        <v>-160641.32411603199</v>
      </c>
      <c r="AT22" s="48">
        <v>7.58</v>
      </c>
      <c r="AU22" s="48" t="str">
        <f t="shared" si="1"/>
        <v>%BA</v>
      </c>
    </row>
    <row r="23" spans="3:47" x14ac:dyDescent="0.3"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1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48" t="s">
        <v>117</v>
      </c>
      <c r="AP23" s="48" t="s">
        <v>22</v>
      </c>
      <c r="AQ23" s="48">
        <v>6</v>
      </c>
      <c r="AR23" s="48">
        <v>116.16</v>
      </c>
      <c r="AS23" s="57">
        <f>+Thermochemistry!R31</f>
        <v>-160266.18461918901</v>
      </c>
      <c r="AT23" s="48">
        <v>7.57</v>
      </c>
      <c r="AU23" s="48" t="str">
        <f t="shared" si="1"/>
        <v>%EB</v>
      </c>
    </row>
    <row r="24" spans="3:47" x14ac:dyDescent="0.3"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1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48" t="s">
        <v>118</v>
      </c>
      <c r="AP24" s="48" t="s">
        <v>34</v>
      </c>
      <c r="AQ24" s="48">
        <v>8</v>
      </c>
      <c r="AR24" s="48">
        <v>144.21</v>
      </c>
      <c r="AS24" s="57">
        <f>+Thermochemistry!R33</f>
        <v>-90894.884596767093</v>
      </c>
      <c r="AT24" s="48">
        <v>6.03</v>
      </c>
      <c r="AU24" s="48" t="str">
        <f t="shared" si="1"/>
        <v>%BB</v>
      </c>
    </row>
    <row r="25" spans="3:47" x14ac:dyDescent="0.3">
      <c r="C25" s="56">
        <v>0</v>
      </c>
      <c r="D25" s="56">
        <v>0</v>
      </c>
      <c r="E25" s="56">
        <v>0</v>
      </c>
      <c r="F25" s="56">
        <v>-1</v>
      </c>
      <c r="G25" s="56">
        <v>-1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1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-1</v>
      </c>
      <c r="W25" s="56">
        <v>-1</v>
      </c>
      <c r="X25" s="56">
        <v>0</v>
      </c>
      <c r="Y25" s="56">
        <v>0</v>
      </c>
      <c r="Z25" s="56">
        <v>0</v>
      </c>
      <c r="AA25" s="56">
        <v>0</v>
      </c>
      <c r="AB25" s="56">
        <v>-1</v>
      </c>
      <c r="AC25" s="56">
        <v>-1</v>
      </c>
      <c r="AD25" s="56">
        <v>-2</v>
      </c>
      <c r="AE25" s="56">
        <v>0</v>
      </c>
      <c r="AF25" s="56">
        <v>1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48" t="s">
        <v>119</v>
      </c>
      <c r="AP25" s="48" t="s">
        <v>25</v>
      </c>
      <c r="AQ25" s="48">
        <v>6</v>
      </c>
      <c r="AR25" s="48">
        <v>100.16</v>
      </c>
      <c r="AS25" s="57">
        <f>+Thermochemistry!R35</f>
        <v>29668.274990999402</v>
      </c>
      <c r="AT25" s="48">
        <v>8.2100000000000009</v>
      </c>
      <c r="AU25" s="48" t="str">
        <f t="shared" si="1"/>
        <v>%He</v>
      </c>
    </row>
    <row r="26" spans="3:47" x14ac:dyDescent="0.3"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-1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1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-1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1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48" t="s">
        <v>120</v>
      </c>
      <c r="AP26" s="48" t="s">
        <v>38</v>
      </c>
      <c r="AQ26" s="48">
        <v>8</v>
      </c>
      <c r="AR26" s="48">
        <v>128.21</v>
      </c>
      <c r="AS26" s="57">
        <f>+Thermochemistry!R37</f>
        <v>104166.169209574</v>
      </c>
      <c r="AT26" s="48">
        <v>6.42</v>
      </c>
      <c r="AU26" s="48" t="str">
        <f t="shared" si="1"/>
        <v>%Oc</v>
      </c>
    </row>
    <row r="27" spans="3:47" x14ac:dyDescent="0.3"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1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1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48" t="s">
        <v>121</v>
      </c>
      <c r="AP27" s="48" t="s">
        <v>20</v>
      </c>
      <c r="AQ27" s="48">
        <v>6</v>
      </c>
      <c r="AR27" s="48">
        <v>100.16</v>
      </c>
      <c r="AS27" s="57">
        <f>+Thermochemistry!R39</f>
        <v>30746.481960815199</v>
      </c>
      <c r="AT27" s="48">
        <v>8.08</v>
      </c>
      <c r="AU27" s="48" t="str">
        <f t="shared" si="1"/>
        <v>%2EBa</v>
      </c>
    </row>
    <row r="28" spans="3:47" x14ac:dyDescent="0.3"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1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1</v>
      </c>
      <c r="AJ28" s="56">
        <v>0</v>
      </c>
      <c r="AK28" s="56">
        <v>0</v>
      </c>
      <c r="AL28" s="56">
        <v>0</v>
      </c>
      <c r="AM28" s="56">
        <v>0</v>
      </c>
      <c r="AN28" s="48" t="s">
        <v>122</v>
      </c>
      <c r="AP28" s="48" t="s">
        <v>58</v>
      </c>
      <c r="AQ28" s="48">
        <v>8</v>
      </c>
      <c r="AR28" s="48">
        <v>128.21</v>
      </c>
      <c r="AS28" s="57">
        <f>+Thermochemistry!S40</f>
        <v>96077</v>
      </c>
      <c r="AT28" s="48">
        <v>6.4</v>
      </c>
      <c r="AU28" s="48" t="str">
        <f t="shared" si="1"/>
        <v>%2EHa</v>
      </c>
    </row>
    <row r="29" spans="3:47" x14ac:dyDescent="0.3"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1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48" t="s">
        <v>123</v>
      </c>
      <c r="AP29" s="48" t="s">
        <v>8</v>
      </c>
      <c r="AQ29" s="48">
        <v>3</v>
      </c>
      <c r="AR29" s="48">
        <v>58.08</v>
      </c>
      <c r="AS29" s="48">
        <v>0</v>
      </c>
      <c r="AT29" s="48">
        <v>13.63</v>
      </c>
      <c r="AU29" s="48" t="str">
        <f t="shared" si="1"/>
        <v>%Ac</v>
      </c>
    </row>
    <row r="30" spans="3:47" x14ac:dyDescent="0.3"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1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48" t="s">
        <v>124</v>
      </c>
      <c r="AP30" s="48" t="s">
        <v>16</v>
      </c>
      <c r="AQ30" s="48">
        <v>5</v>
      </c>
      <c r="AR30" s="48">
        <v>86.13</v>
      </c>
      <c r="AS30" s="48">
        <v>0</v>
      </c>
      <c r="AT30" s="48">
        <v>9.39</v>
      </c>
      <c r="AU30" s="48" t="str">
        <f t="shared" si="1"/>
        <v>%2Po</v>
      </c>
    </row>
    <row r="31" spans="3:47" x14ac:dyDescent="0.3"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1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48" t="s">
        <v>125</v>
      </c>
      <c r="AP31" s="48" t="s">
        <v>42</v>
      </c>
      <c r="AQ31" s="48">
        <v>10</v>
      </c>
      <c r="AR31" s="48">
        <v>172.26</v>
      </c>
      <c r="AS31" s="58">
        <f>+Thermochemistry!S42</f>
        <v>-20787</v>
      </c>
      <c r="AT31" s="48">
        <v>5.03</v>
      </c>
      <c r="AU31" s="48" t="str">
        <f t="shared" si="1"/>
        <v>%BH</v>
      </c>
    </row>
    <row r="32" spans="3:47" x14ac:dyDescent="0.3"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1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48" t="s">
        <v>126</v>
      </c>
      <c r="AP32" s="48" t="s">
        <v>35</v>
      </c>
      <c r="AQ32" s="48">
        <v>8</v>
      </c>
      <c r="AR32" s="48">
        <v>144.21</v>
      </c>
      <c r="AS32" s="58">
        <f>+Thermochemistry!S43</f>
        <v>-88153</v>
      </c>
      <c r="AT32" s="48">
        <v>5.6</v>
      </c>
      <c r="AU32" s="48" t="str">
        <f t="shared" si="1"/>
        <v>%EH</v>
      </c>
    </row>
    <row r="33" spans="3:47" x14ac:dyDescent="0.3"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1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48" t="s">
        <v>127</v>
      </c>
      <c r="AP33" s="48" t="s">
        <v>37</v>
      </c>
      <c r="AQ33" s="48">
        <v>8</v>
      </c>
      <c r="AR33" s="48">
        <v>144.21</v>
      </c>
      <c r="AS33" s="57">
        <f>+Thermochemistry!R45</f>
        <v>-91496.061047414099</v>
      </c>
      <c r="AT33" s="48">
        <v>6.01</v>
      </c>
      <c r="AU33" s="48" t="str">
        <f t="shared" si="1"/>
        <v>%HA</v>
      </c>
    </row>
    <row r="34" spans="3:47" x14ac:dyDescent="0.3"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1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48" t="s">
        <v>128</v>
      </c>
      <c r="AP34" s="48" t="s">
        <v>48</v>
      </c>
      <c r="AQ34" s="48">
        <v>12</v>
      </c>
      <c r="AR34" s="48">
        <v>200.32</v>
      </c>
      <c r="AS34" s="58">
        <f>+Thermochemistry!S47</f>
        <v>46574</v>
      </c>
      <c r="AT34" s="48">
        <v>4.34</v>
      </c>
      <c r="AU34" s="48" t="str">
        <f t="shared" si="1"/>
        <v>%BO</v>
      </c>
    </row>
    <row r="35" spans="3:47" x14ac:dyDescent="0.3"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1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48" t="s">
        <v>129</v>
      </c>
      <c r="AP35" s="48" t="s">
        <v>33</v>
      </c>
      <c r="AQ35" s="48">
        <v>8</v>
      </c>
      <c r="AR35" s="48">
        <v>144.21</v>
      </c>
      <c r="AS35" s="59">
        <v>-84112</v>
      </c>
      <c r="AT35" s="48">
        <v>5.68</v>
      </c>
      <c r="AU35" s="48" t="str">
        <f t="shared" si="1"/>
        <v>%2EBAc</v>
      </c>
    </row>
    <row r="36" spans="3:47" x14ac:dyDescent="0.3"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1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48" t="s">
        <v>130</v>
      </c>
      <c r="AP36" s="48" t="s">
        <v>30</v>
      </c>
      <c r="AQ36" s="48">
        <v>7</v>
      </c>
      <c r="AR36" s="48">
        <v>114.19</v>
      </c>
      <c r="AS36" s="48">
        <v>0</v>
      </c>
      <c r="AT36" s="48">
        <v>7.18</v>
      </c>
      <c r="AU36" s="48" t="str">
        <f t="shared" si="1"/>
        <v>%4-Ho</v>
      </c>
    </row>
    <row r="37" spans="3:47" x14ac:dyDescent="0.3"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1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48" t="s">
        <v>131</v>
      </c>
      <c r="AP37" s="48" t="s">
        <v>40</v>
      </c>
      <c r="AQ37" s="48">
        <v>9</v>
      </c>
      <c r="AR37" s="48">
        <v>142.24</v>
      </c>
      <c r="AS37" s="48">
        <v>0</v>
      </c>
      <c r="AT37" s="48">
        <v>5.76</v>
      </c>
      <c r="AU37" s="48" t="str">
        <f t="shared" si="1"/>
        <v>%4No</v>
      </c>
    </row>
    <row r="38" spans="3:47" x14ac:dyDescent="0.3"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1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48" t="s">
        <v>132</v>
      </c>
      <c r="AP38" s="48" t="s">
        <v>32</v>
      </c>
      <c r="AQ38" s="48">
        <v>7</v>
      </c>
      <c r="AR38" s="48">
        <v>114.19</v>
      </c>
      <c r="AS38" s="48">
        <v>0</v>
      </c>
      <c r="AT38" s="48">
        <v>7.18</v>
      </c>
      <c r="AU38" s="48" t="str">
        <f t="shared" si="1"/>
        <v>%2Ho</v>
      </c>
    </row>
    <row r="39" spans="3:47" x14ac:dyDescent="0.3"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-1</v>
      </c>
      <c r="AN39" s="48" t="s">
        <v>133</v>
      </c>
      <c r="AP39" s="48" t="s">
        <v>44</v>
      </c>
      <c r="AQ39" s="48">
        <v>12</v>
      </c>
      <c r="AR39" s="48">
        <v>186.34</v>
      </c>
      <c r="AS39" s="59">
        <v>226672</v>
      </c>
      <c r="AT39" s="48">
        <v>4.4000000000000004</v>
      </c>
      <c r="AU39" s="48" t="str">
        <f t="shared" si="1"/>
        <v>%2BO</v>
      </c>
    </row>
    <row r="40" spans="3:47" x14ac:dyDescent="0.3">
      <c r="C40" s="56">
        <v>1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-1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48" t="s">
        <v>209</v>
      </c>
      <c r="AP40" s="48" t="s">
        <v>210</v>
      </c>
      <c r="AQ40" s="48">
        <v>4</v>
      </c>
      <c r="AR40" s="48">
        <f>+AR20-2*1.008</f>
        <v>70.093999999999994</v>
      </c>
      <c r="AS40" s="48">
        <v>0</v>
      </c>
      <c r="AT40" s="50">
        <f>+AT20*AR20/AR40</f>
        <v>11.450114132450711</v>
      </c>
      <c r="AU40" s="48" t="str">
        <f t="shared" si="1"/>
        <v>%2Bal=</v>
      </c>
    </row>
    <row r="41" spans="3:47" x14ac:dyDescent="0.3">
      <c r="C41" s="56">
        <v>0</v>
      </c>
      <c r="D41" s="56">
        <v>1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-1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48" t="s">
        <v>211</v>
      </c>
      <c r="AP41" s="48" t="s">
        <v>212</v>
      </c>
      <c r="AQ41" s="48">
        <v>6</v>
      </c>
      <c r="AR41" s="48">
        <f>+AR25-2*1.008</f>
        <v>98.143999999999991</v>
      </c>
      <c r="AS41" s="48">
        <v>0</v>
      </c>
      <c r="AT41" s="50">
        <f>+AT25*AR25/AR41</f>
        <v>8.3786436256928614</v>
      </c>
      <c r="AU41" s="48" t="str">
        <f t="shared" si="1"/>
        <v>%2He=</v>
      </c>
    </row>
    <row r="42" spans="3:47" x14ac:dyDescent="0.3">
      <c r="C42" s="56">
        <v>0</v>
      </c>
      <c r="D42" s="56">
        <v>0</v>
      </c>
      <c r="E42" s="56">
        <v>1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-1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48" t="s">
        <v>213</v>
      </c>
      <c r="AP42" s="48" t="s">
        <v>214</v>
      </c>
      <c r="AQ42" s="48">
        <v>6</v>
      </c>
      <c r="AR42" s="48">
        <f>+AR27-2*1.008</f>
        <v>98.143999999999991</v>
      </c>
      <c r="AS42" s="48">
        <v>0</v>
      </c>
      <c r="AT42" s="50">
        <f>+AT27*AR27/AR42</f>
        <v>8.2459732637756762</v>
      </c>
      <c r="AU42" s="48" t="str">
        <f t="shared" si="1"/>
        <v>%2EBa=</v>
      </c>
    </row>
    <row r="43" spans="3:47" x14ac:dyDescent="0.3">
      <c r="C43" s="56">
        <v>0</v>
      </c>
      <c r="D43" s="56">
        <v>0</v>
      </c>
      <c r="E43" s="56">
        <v>0</v>
      </c>
      <c r="F43" s="56">
        <v>1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-1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48" t="s">
        <v>215</v>
      </c>
      <c r="AP43" s="48" t="s">
        <v>216</v>
      </c>
      <c r="AQ43" s="48">
        <v>8</v>
      </c>
      <c r="AR43" s="48">
        <f>+AR26-2*1.008</f>
        <v>126.194</v>
      </c>
      <c r="AS43" s="48">
        <v>0</v>
      </c>
      <c r="AT43" s="50">
        <f>+AT26*AR26/AR43</f>
        <v>6.5225620869454968</v>
      </c>
      <c r="AU43" s="48" t="str">
        <f t="shared" si="1"/>
        <v>%Oc=</v>
      </c>
    </row>
    <row r="44" spans="3:47" x14ac:dyDescent="0.3">
      <c r="C44" s="56">
        <v>0</v>
      </c>
      <c r="D44" s="56">
        <v>0</v>
      </c>
      <c r="E44" s="56">
        <v>0</v>
      </c>
      <c r="F44" s="56">
        <v>0</v>
      </c>
      <c r="G44" s="56">
        <v>1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1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-1</v>
      </c>
      <c r="AJ44" s="56">
        <v>0</v>
      </c>
      <c r="AK44" s="56">
        <v>0</v>
      </c>
      <c r="AL44" s="56">
        <v>0</v>
      </c>
      <c r="AM44" s="56">
        <v>0</v>
      </c>
      <c r="AN44" s="48" t="s">
        <v>217</v>
      </c>
      <c r="AP44" s="48" t="s">
        <v>218</v>
      </c>
      <c r="AQ44" s="48">
        <v>8</v>
      </c>
      <c r="AR44" s="48">
        <f>+AR43</f>
        <v>126.194</v>
      </c>
      <c r="AS44" s="48">
        <v>0</v>
      </c>
      <c r="AT44" s="50">
        <f>+AT28*AR28/AR44</f>
        <v>6.5022425788864773</v>
      </c>
      <c r="AU44" s="48" t="str">
        <f t="shared" si="1"/>
        <v>%2EHa=</v>
      </c>
    </row>
    <row r="45" spans="3:47" x14ac:dyDescent="0.3"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1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-1</v>
      </c>
      <c r="AK45" s="56">
        <v>0</v>
      </c>
      <c r="AL45" s="56">
        <v>0</v>
      </c>
      <c r="AM45" s="56">
        <v>0</v>
      </c>
      <c r="AN45" s="48" t="s">
        <v>219</v>
      </c>
      <c r="AP45" s="48" t="s">
        <v>220</v>
      </c>
      <c r="AQ45" s="48">
        <v>10</v>
      </c>
      <c r="AR45" s="48">
        <f>+AR46-2*1.008</f>
        <v>154.24800000000002</v>
      </c>
      <c r="AS45" s="48">
        <v>0</v>
      </c>
      <c r="AT45" s="50">
        <f>+AT46*AR46/AR45</f>
        <v>5.3461879570561672</v>
      </c>
      <c r="AU45" s="48" t="str">
        <f t="shared" si="1"/>
        <v>%De=</v>
      </c>
    </row>
    <row r="46" spans="3:47" x14ac:dyDescent="0.3"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1</v>
      </c>
      <c r="AK46" s="56">
        <v>1</v>
      </c>
      <c r="AL46" s="56">
        <v>0</v>
      </c>
      <c r="AM46" s="56">
        <v>0</v>
      </c>
      <c r="AN46" s="48" t="s">
        <v>221</v>
      </c>
      <c r="AP46" s="48" t="s">
        <v>222</v>
      </c>
      <c r="AQ46" s="48">
        <v>10</v>
      </c>
      <c r="AR46" s="48">
        <f>+AR16-2*1.008</f>
        <v>156.26400000000001</v>
      </c>
      <c r="AS46" s="57">
        <f>+Thermochemistry!R48</f>
        <v>172491.43334209599</v>
      </c>
      <c r="AT46" s="50">
        <f>+AT16*AR16/AR46</f>
        <v>5.2772154814928571</v>
      </c>
      <c r="AU46" s="48" t="str">
        <f t="shared" si="1"/>
        <v>%De</v>
      </c>
    </row>
    <row r="47" spans="3:47" x14ac:dyDescent="0.3"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1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-1</v>
      </c>
      <c r="AM47" s="56">
        <v>0</v>
      </c>
      <c r="AN47" s="48" t="s">
        <v>223</v>
      </c>
      <c r="AP47" s="48" t="s">
        <v>224</v>
      </c>
      <c r="AQ47" s="48">
        <v>12</v>
      </c>
      <c r="AR47" s="48">
        <f>+AR48-2*1.008</f>
        <v>182.30800000000002</v>
      </c>
      <c r="AS47" s="48">
        <v>0</v>
      </c>
      <c r="AT47" s="50">
        <f>+AT48*AR48/AR47</f>
        <v>4.4973122408232218</v>
      </c>
      <c r="AU47" s="48" t="str">
        <f t="shared" si="1"/>
        <v>%2BOc=</v>
      </c>
    </row>
    <row r="48" spans="3:47" x14ac:dyDescent="0.3"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1</v>
      </c>
      <c r="AM48" s="56">
        <v>1</v>
      </c>
      <c r="AN48" s="48" t="s">
        <v>225</v>
      </c>
      <c r="AP48" s="48" t="s">
        <v>226</v>
      </c>
      <c r="AQ48" s="48">
        <v>12</v>
      </c>
      <c r="AR48" s="48">
        <f>+AR39-2*1.008</f>
        <v>184.32400000000001</v>
      </c>
      <c r="AS48" s="59">
        <v>230804</v>
      </c>
      <c r="AT48" s="50">
        <f>+AT39*AR39/AR48</f>
        <v>4.4481239556433234</v>
      </c>
      <c r="AU48" s="48" t="str">
        <f t="shared" si="1"/>
        <v>%2BOc</v>
      </c>
    </row>
    <row r="49" spans="2:47" x14ac:dyDescent="0.3">
      <c r="C49" s="56">
        <v>1</v>
      </c>
      <c r="D49" s="56">
        <v>1</v>
      </c>
      <c r="E49" s="56">
        <v>1</v>
      </c>
      <c r="F49" s="56">
        <v>1</v>
      </c>
      <c r="G49" s="56">
        <v>1</v>
      </c>
      <c r="H49" s="56">
        <v>1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1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1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48" t="s">
        <v>134</v>
      </c>
      <c r="AP49" s="48" t="s">
        <v>172</v>
      </c>
      <c r="AQ49" s="48">
        <v>0</v>
      </c>
      <c r="AR49" s="48">
        <v>18.02</v>
      </c>
      <c r="AS49" s="48">
        <v>0</v>
      </c>
      <c r="AT49" s="48">
        <v>55.31</v>
      </c>
      <c r="AU49" s="48" t="str">
        <f t="shared" si="1"/>
        <v>%H2O</v>
      </c>
    </row>
    <row r="50" spans="2:47" x14ac:dyDescent="0.3"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1</v>
      </c>
      <c r="U50" s="56">
        <v>1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1</v>
      </c>
      <c r="AB50" s="56">
        <v>1</v>
      </c>
      <c r="AC50" s="56">
        <v>1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48" t="s">
        <v>135</v>
      </c>
      <c r="AP50" s="48" t="s">
        <v>173</v>
      </c>
      <c r="AQ50" s="48">
        <v>1</v>
      </c>
      <c r="AR50" s="48">
        <v>28.01</v>
      </c>
      <c r="AS50" s="48">
        <v>0</v>
      </c>
      <c r="AT50" s="48">
        <v>0</v>
      </c>
      <c r="AU50" s="48" t="str">
        <f t="shared" si="1"/>
        <v>%CO</v>
      </c>
    </row>
    <row r="51" spans="2:47" x14ac:dyDescent="0.3"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1</v>
      </c>
      <c r="J51" s="56">
        <v>1</v>
      </c>
      <c r="K51" s="56">
        <v>1</v>
      </c>
      <c r="L51" s="56">
        <v>1</v>
      </c>
      <c r="M51" s="56">
        <v>1</v>
      </c>
      <c r="N51" s="56">
        <v>1</v>
      </c>
      <c r="O51" s="56">
        <v>1</v>
      </c>
      <c r="P51" s="56">
        <v>0</v>
      </c>
      <c r="Q51" s="56">
        <v>1</v>
      </c>
      <c r="R51" s="56">
        <v>1</v>
      </c>
      <c r="S51" s="56">
        <v>1</v>
      </c>
      <c r="T51" s="56">
        <v>1</v>
      </c>
      <c r="U51" s="56">
        <v>1</v>
      </c>
      <c r="V51" s="56">
        <v>1</v>
      </c>
      <c r="W51" s="56">
        <v>1</v>
      </c>
      <c r="X51" s="56">
        <v>1</v>
      </c>
      <c r="Y51" s="56">
        <v>1</v>
      </c>
      <c r="Z51" s="56">
        <v>1</v>
      </c>
      <c r="AA51" s="56">
        <v>1</v>
      </c>
      <c r="AB51" s="56">
        <v>1</v>
      </c>
      <c r="AC51" s="56">
        <v>1</v>
      </c>
      <c r="AD51" s="56">
        <v>0</v>
      </c>
      <c r="AE51" s="56">
        <v>-1</v>
      </c>
      <c r="AF51" s="56">
        <v>-1</v>
      </c>
      <c r="AG51" s="56">
        <v>-1</v>
      </c>
      <c r="AH51" s="56">
        <v>-1</v>
      </c>
      <c r="AI51" s="56">
        <v>-1</v>
      </c>
      <c r="AJ51" s="56">
        <v>-1</v>
      </c>
      <c r="AK51" s="56">
        <v>1</v>
      </c>
      <c r="AL51" s="56">
        <v>-1</v>
      </c>
      <c r="AM51" s="56">
        <v>1</v>
      </c>
      <c r="AN51" s="48" t="s">
        <v>136</v>
      </c>
      <c r="AP51" s="48" t="s">
        <v>174</v>
      </c>
      <c r="AQ51" s="48">
        <v>0</v>
      </c>
      <c r="AR51" s="48">
        <v>2.02</v>
      </c>
      <c r="AS51" s="48">
        <v>-3453</v>
      </c>
      <c r="AT51" s="48">
        <v>0</v>
      </c>
      <c r="AU51" s="48" t="str">
        <f t="shared" si="1"/>
        <v>%H2</v>
      </c>
    </row>
    <row r="53" spans="2:47" x14ac:dyDescent="0.3">
      <c r="B53" s="48" t="s">
        <v>227</v>
      </c>
      <c r="C53" s="60">
        <f t="shared" ref="C53:AM53" si="2">+SUMPRODUCT(C12:C51,$AR$12:$AR$51)</f>
        <v>1.3999999999999346E-2</v>
      </c>
      <c r="D53" s="60">
        <f t="shared" si="2"/>
        <v>3.9999999999942304E-3</v>
      </c>
      <c r="E53" s="60">
        <f t="shared" si="2"/>
        <v>3.9999999999942304E-3</v>
      </c>
      <c r="F53" s="60">
        <f t="shared" si="2"/>
        <v>4.0000000000226521E-3</v>
      </c>
      <c r="G53" s="60">
        <f t="shared" si="2"/>
        <v>4.0000000000226521E-3</v>
      </c>
      <c r="H53" s="60">
        <f t="shared" si="2"/>
        <v>8.0000000000275406E-3</v>
      </c>
      <c r="I53" s="60">
        <f t="shared" si="2"/>
        <v>-3.1086244689504383E-15</v>
      </c>
      <c r="J53" s="60">
        <f t="shared" si="2"/>
        <v>9.9999999999949019E-3</v>
      </c>
      <c r="K53" s="60">
        <f t="shared" si="2"/>
        <v>9.9999999999949019E-3</v>
      </c>
      <c r="L53" s="60">
        <f t="shared" si="2"/>
        <v>9.9999999999949019E-3</v>
      </c>
      <c r="M53" s="60">
        <f t="shared" si="2"/>
        <v>-1.021405182655144E-14</v>
      </c>
      <c r="N53" s="60">
        <f t="shared" si="2"/>
        <v>-1.021405182655144E-14</v>
      </c>
      <c r="O53" s="60">
        <f t="shared" si="2"/>
        <v>-1.021405182655144E-14</v>
      </c>
      <c r="P53" s="60">
        <f t="shared" si="2"/>
        <v>-5.9999999999966747E-3</v>
      </c>
      <c r="Q53" s="60">
        <f t="shared" si="2"/>
        <v>1.8207657603852567E-14</v>
      </c>
      <c r="R53" s="60">
        <f t="shared" si="2"/>
        <v>-1.021405182655144E-14</v>
      </c>
      <c r="S53" s="60">
        <f t="shared" si="2"/>
        <v>1.8207657603852567E-14</v>
      </c>
      <c r="T53" s="60">
        <f t="shared" si="2"/>
        <v>1.000000000000556E-2</v>
      </c>
      <c r="U53" s="60">
        <f t="shared" si="2"/>
        <v>4.4408920985006262E-16</v>
      </c>
      <c r="V53" s="60">
        <f t="shared" si="2"/>
        <v>-1.021405182655144E-14</v>
      </c>
      <c r="W53" s="60">
        <f t="shared" si="2"/>
        <v>1.8207657603852567E-14</v>
      </c>
      <c r="X53" s="60">
        <f t="shared" si="2"/>
        <v>-1.021405182655144E-14</v>
      </c>
      <c r="Y53" s="60">
        <f t="shared" si="2"/>
        <v>9.999999999980691E-3</v>
      </c>
      <c r="Z53" s="60">
        <f t="shared" si="2"/>
        <v>-1.021405182655144E-14</v>
      </c>
      <c r="AA53" s="60">
        <f t="shared" si="2"/>
        <v>4.4408920985006262E-16</v>
      </c>
      <c r="AB53" s="60">
        <f t="shared" si="2"/>
        <v>2.886579864025407E-14</v>
      </c>
      <c r="AC53" s="60">
        <f t="shared" si="2"/>
        <v>1.0000000000019771E-2</v>
      </c>
      <c r="AD53" s="60">
        <f t="shared" si="2"/>
        <v>8.0000000000275406E-3</v>
      </c>
      <c r="AE53" s="60">
        <f t="shared" si="2"/>
        <v>-3.9999999999946745E-3</v>
      </c>
      <c r="AF53" s="60">
        <f t="shared" si="2"/>
        <v>-3.9999999999946745E-3</v>
      </c>
      <c r="AG53" s="60">
        <f t="shared" si="2"/>
        <v>-3.9999999999946745E-3</v>
      </c>
      <c r="AH53" s="60">
        <f t="shared" si="2"/>
        <v>-3.9999999999946745E-3</v>
      </c>
      <c r="AI53" s="60">
        <f t="shared" si="2"/>
        <v>-3.9999999999946745E-3</v>
      </c>
      <c r="AJ53" s="60">
        <f t="shared" si="2"/>
        <v>-4.0000000000088853E-3</v>
      </c>
      <c r="AK53" s="60">
        <f t="shared" si="2"/>
        <v>4.0000000000088853E-3</v>
      </c>
      <c r="AL53" s="60">
        <f t="shared" si="2"/>
        <v>-4.0000000000088853E-3</v>
      </c>
      <c r="AM53" s="60">
        <f t="shared" si="2"/>
        <v>4.0000000000088853E-3</v>
      </c>
    </row>
    <row r="55" spans="2:47" x14ac:dyDescent="0.3">
      <c r="B55" s="48" t="s">
        <v>228</v>
      </c>
      <c r="C55" s="48">
        <f t="shared" ref="C55:AM55" si="3">+SUM(C12:C51)</f>
        <v>0</v>
      </c>
      <c r="D55" s="48">
        <f t="shared" si="3"/>
        <v>0</v>
      </c>
      <c r="E55" s="48">
        <f t="shared" si="3"/>
        <v>0</v>
      </c>
      <c r="F55" s="48">
        <f t="shared" si="3"/>
        <v>0</v>
      </c>
      <c r="G55" s="48">
        <f t="shared" si="3"/>
        <v>0</v>
      </c>
      <c r="H55" s="48">
        <f t="shared" si="3"/>
        <v>0</v>
      </c>
      <c r="I55" s="48">
        <f t="shared" si="3"/>
        <v>1</v>
      </c>
      <c r="J55" s="48">
        <f t="shared" si="3"/>
        <v>1</v>
      </c>
      <c r="K55" s="48">
        <f t="shared" si="3"/>
        <v>0</v>
      </c>
      <c r="L55" s="48">
        <f t="shared" si="3"/>
        <v>0</v>
      </c>
      <c r="M55" s="48">
        <f t="shared" si="3"/>
        <v>0</v>
      </c>
      <c r="N55" s="48">
        <f t="shared" si="3"/>
        <v>0</v>
      </c>
      <c r="O55" s="48">
        <f t="shared" si="3"/>
        <v>1</v>
      </c>
      <c r="P55" s="48">
        <f t="shared" si="3"/>
        <v>0</v>
      </c>
      <c r="Q55" s="48">
        <f t="shared" si="3"/>
        <v>1</v>
      </c>
      <c r="R55" s="48">
        <f t="shared" si="3"/>
        <v>1</v>
      </c>
      <c r="S55" s="48">
        <f t="shared" si="3"/>
        <v>1</v>
      </c>
      <c r="T55" s="48">
        <f t="shared" si="3"/>
        <v>1</v>
      </c>
      <c r="U55" s="48">
        <f t="shared" si="3"/>
        <v>1</v>
      </c>
      <c r="V55" s="48">
        <f t="shared" si="3"/>
        <v>0</v>
      </c>
      <c r="W55" s="48">
        <f t="shared" si="3"/>
        <v>0</v>
      </c>
      <c r="X55" s="48">
        <f t="shared" si="3"/>
        <v>0</v>
      </c>
      <c r="Y55" s="48">
        <f t="shared" si="3"/>
        <v>0</v>
      </c>
      <c r="Z55" s="48">
        <f t="shared" si="3"/>
        <v>0</v>
      </c>
      <c r="AA55" s="48">
        <f t="shared" si="3"/>
        <v>1</v>
      </c>
      <c r="AB55" s="48">
        <f t="shared" si="3"/>
        <v>1</v>
      </c>
      <c r="AC55" s="48">
        <f t="shared" si="3"/>
        <v>1</v>
      </c>
      <c r="AD55" s="48">
        <f t="shared" si="3"/>
        <v>0</v>
      </c>
      <c r="AE55" s="48">
        <f t="shared" si="3"/>
        <v>-1</v>
      </c>
      <c r="AF55" s="48">
        <f t="shared" si="3"/>
        <v>-1</v>
      </c>
      <c r="AG55" s="48">
        <f t="shared" si="3"/>
        <v>-1</v>
      </c>
      <c r="AH55" s="48">
        <f t="shared" si="3"/>
        <v>-1</v>
      </c>
      <c r="AI55" s="48">
        <f t="shared" si="3"/>
        <v>-1</v>
      </c>
      <c r="AJ55" s="48">
        <f t="shared" si="3"/>
        <v>-1</v>
      </c>
      <c r="AK55" s="48">
        <f t="shared" si="3"/>
        <v>1</v>
      </c>
      <c r="AL55" s="48">
        <f t="shared" si="3"/>
        <v>-1</v>
      </c>
      <c r="AM55" s="48">
        <f t="shared" si="3"/>
        <v>1</v>
      </c>
    </row>
    <row r="56" spans="2:47" x14ac:dyDescent="0.3">
      <c r="T56" s="61"/>
      <c r="U56" s="61"/>
      <c r="V56" s="61"/>
      <c r="W56" s="61"/>
      <c r="AT56" s="57"/>
    </row>
  </sheetData>
  <mergeCells count="6">
    <mergeCell ref="C7:H7"/>
    <mergeCell ref="C2:H2"/>
    <mergeCell ref="C3:H3"/>
    <mergeCell ref="C4:H4"/>
    <mergeCell ref="C5:H5"/>
    <mergeCell ref="C6:H6"/>
  </mergeCells>
  <conditionalFormatting sqref="C12:AM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5:AM5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DD61-7142-46DF-BBFC-FB1DB44385DB}">
  <dimension ref="B1:AI53"/>
  <sheetViews>
    <sheetView topLeftCell="A24" zoomScaleNormal="100" workbookViewId="0">
      <selection activeCell="I44" sqref="I44"/>
    </sheetView>
  </sheetViews>
  <sheetFormatPr defaultColWidth="9.109375" defaultRowHeight="14.4" x14ac:dyDescent="0.3"/>
  <cols>
    <col min="1" max="1" width="9.109375" style="2"/>
    <col min="2" max="2" width="15.109375" style="30" bestFit="1" customWidth="1"/>
    <col min="3" max="3" width="9.44140625" style="30" bestFit="1" customWidth="1"/>
    <col min="4" max="4" width="3.6640625" style="30" bestFit="1" customWidth="1"/>
    <col min="5" max="5" width="3.88671875" style="30" bestFit="1" customWidth="1"/>
    <col min="6" max="6" width="4" style="30" bestFit="1" customWidth="1"/>
    <col min="7" max="7" width="13.44140625" style="2" bestFit="1" customWidth="1"/>
    <col min="8" max="8" width="15.33203125" style="2" bestFit="1" customWidth="1"/>
    <col min="9" max="9" width="14.109375" style="2" bestFit="1" customWidth="1"/>
    <col min="10" max="14" width="9.88671875" style="2" bestFit="1" customWidth="1"/>
    <col min="15" max="15" width="9.109375" style="2"/>
    <col min="16" max="16" width="12.33203125" style="2" bestFit="1" customWidth="1"/>
    <col min="17" max="19" width="12.44140625" style="2" bestFit="1" customWidth="1"/>
    <col min="20" max="20" width="9.109375" style="2"/>
    <col min="21" max="21" width="7.88671875" style="2" bestFit="1" customWidth="1"/>
    <col min="22" max="22" width="11.33203125" style="2" bestFit="1" customWidth="1"/>
    <col min="23" max="23" width="6.33203125" style="2" bestFit="1" customWidth="1"/>
    <col min="24" max="24" width="9.109375" style="2"/>
    <col min="25" max="25" width="10.88671875" style="2" bestFit="1" customWidth="1"/>
    <col min="26" max="26" width="11.5546875" style="2" bestFit="1" customWidth="1"/>
    <col min="27" max="30" width="9.109375" style="2"/>
    <col min="31" max="31" width="10.5546875" style="2" bestFit="1" customWidth="1"/>
    <col min="32" max="16384" width="9.109375" style="2"/>
  </cols>
  <sheetData>
    <row r="1" spans="2:35" x14ac:dyDescent="0.3">
      <c r="D1" s="62" t="s">
        <v>229</v>
      </c>
      <c r="I1" s="30" t="s">
        <v>230</v>
      </c>
    </row>
    <row r="2" spans="2:35" x14ac:dyDescent="0.3">
      <c r="B2" s="2"/>
      <c r="C2" s="2"/>
      <c r="D2" s="2"/>
      <c r="H2" s="63" t="s">
        <v>231</v>
      </c>
      <c r="I2" s="83" t="s">
        <v>232</v>
      </c>
    </row>
    <row r="3" spans="2:35" x14ac:dyDescent="0.3">
      <c r="H3" s="64" t="s">
        <v>233</v>
      </c>
      <c r="I3" s="84" t="s">
        <v>234</v>
      </c>
    </row>
    <row r="4" spans="2:35" ht="16.2" x14ac:dyDescent="0.3">
      <c r="I4" s="85" t="s">
        <v>273</v>
      </c>
      <c r="S4" s="65"/>
    </row>
    <row r="5" spans="2:35" x14ac:dyDescent="0.3">
      <c r="I5" s="101" t="s">
        <v>274</v>
      </c>
      <c r="S5" s="65"/>
    </row>
    <row r="6" spans="2:35" x14ac:dyDescent="0.3">
      <c r="I6" s="86" t="s">
        <v>272</v>
      </c>
      <c r="P6" s="117">
        <f>325+273.15</f>
        <v>598.15</v>
      </c>
      <c r="Q6" s="117"/>
      <c r="R6" s="117"/>
      <c r="S6" s="65"/>
    </row>
    <row r="7" spans="2:35" ht="16.2" x14ac:dyDescent="0.3">
      <c r="J7" s="118" t="s">
        <v>235</v>
      </c>
      <c r="K7" s="118"/>
      <c r="L7" s="118"/>
      <c r="M7" s="118"/>
      <c r="N7" s="118"/>
      <c r="P7" s="119" t="s">
        <v>236</v>
      </c>
      <c r="Q7" s="119"/>
      <c r="R7" s="3" t="s">
        <v>237</v>
      </c>
      <c r="S7" s="3" t="s">
        <v>238</v>
      </c>
      <c r="U7" s="108" t="s">
        <v>239</v>
      </c>
      <c r="V7" s="108"/>
      <c r="W7" s="108"/>
    </row>
    <row r="8" spans="2:35" ht="16.2" x14ac:dyDescent="0.3">
      <c r="B8" s="66" t="s">
        <v>52</v>
      </c>
      <c r="C8" s="66" t="s">
        <v>240</v>
      </c>
      <c r="D8" s="66" t="s">
        <v>241</v>
      </c>
      <c r="E8" s="66" t="s">
        <v>242</v>
      </c>
      <c r="F8" s="66" t="s">
        <v>243</v>
      </c>
      <c r="G8" s="42" t="s">
        <v>244</v>
      </c>
      <c r="H8" s="42" t="s">
        <v>245</v>
      </c>
      <c r="I8" s="42" t="s">
        <v>246</v>
      </c>
      <c r="J8" s="67">
        <v>298.14999999999998</v>
      </c>
      <c r="K8" s="67">
        <v>300</v>
      </c>
      <c r="L8" s="67">
        <v>400</v>
      </c>
      <c r="M8" s="67">
        <v>500</v>
      </c>
      <c r="N8" s="67">
        <v>600</v>
      </c>
      <c r="P8" s="42" t="s">
        <v>244</v>
      </c>
      <c r="Q8" s="42" t="s">
        <v>246</v>
      </c>
      <c r="R8" s="42" t="s">
        <v>246</v>
      </c>
      <c r="S8" s="42" t="s">
        <v>246</v>
      </c>
      <c r="U8" s="2" t="s">
        <v>247</v>
      </c>
      <c r="V8" s="2" t="s">
        <v>248</v>
      </c>
      <c r="W8" s="2" t="s">
        <v>249</v>
      </c>
    </row>
    <row r="9" spans="2:35" x14ac:dyDescent="0.3">
      <c r="B9" s="30" t="s">
        <v>250</v>
      </c>
      <c r="C9" s="30" t="str">
        <f>IF(D9="","","C")&amp;D9&amp;IF(E9="","","H")&amp;E9&amp;IF(F9="","","O")&amp;F9</f>
        <v>C2H6O1</v>
      </c>
      <c r="D9" s="30">
        <v>2</v>
      </c>
      <c r="E9" s="30">
        <v>6</v>
      </c>
      <c r="F9" s="30">
        <v>1</v>
      </c>
      <c r="G9" s="1">
        <v>-234950</v>
      </c>
      <c r="H9" s="1"/>
      <c r="I9" s="68">
        <v>-167882.629957514</v>
      </c>
      <c r="J9" s="69">
        <v>65.1074504932363</v>
      </c>
      <c r="K9" s="69">
        <v>65.406941514185206</v>
      </c>
      <c r="L9" s="69">
        <v>81.644561552148005</v>
      </c>
      <c r="M9" s="69">
        <v>95.925861554281795</v>
      </c>
      <c r="N9" s="69">
        <v>108.04945378854001</v>
      </c>
      <c r="P9" s="70">
        <f>+$G9+$V9*($P$6-$J$8)+($U9/2)*($P$6^2-$J$8^2)</f>
        <v>-208749.18698327817</v>
      </c>
      <c r="Q9" s="70">
        <f>$I9*($P$6/$J$8)-$P$6*($G9*(1/$J$8-1/$P$6)+$V9*(LN($P$6/$J$8)-(1-$J$8/$P$6))+($U9/2)*(($P$6-$J$8)-($J$8)*(1-$J$8/$P$6)))</f>
        <v>-109534.07560634479</v>
      </c>
      <c r="R9" s="70">
        <v>-109605.68974572999</v>
      </c>
      <c r="S9" s="70"/>
      <c r="U9" s="41" cm="1">
        <f t="array" ref="U9:V9">+LINEST(J9:N9,$J$8:$N$8,,FALSE)</f>
        <v>0.14408098206853337</v>
      </c>
      <c r="V9" s="41">
        <v>22.766151275059592</v>
      </c>
      <c r="W9" s="47">
        <f>+PEARSON(J9:N9,$J$8:$N$8)^2</f>
        <v>0.99657482508173556</v>
      </c>
    </row>
    <row r="10" spans="2:35" x14ac:dyDescent="0.3">
      <c r="B10" s="71"/>
      <c r="C10" s="71" t="str">
        <f t="shared" ref="C10:C13" si="0">IF(D10="","","C")&amp;D10&amp;IF(E10="","","H")&amp;E10&amp;IF(F10="","","O")&amp;F10</f>
        <v/>
      </c>
      <c r="D10" s="71"/>
      <c r="E10" s="71"/>
      <c r="F10" s="71"/>
      <c r="G10" s="87">
        <v>-234000</v>
      </c>
      <c r="H10" s="88">
        <v>281.62200000000001</v>
      </c>
      <c r="I10" s="89">
        <f>+G10-$J$8*(H10-D9*$H$52-E9/2*$H$51-F9/2*$H$53)</f>
        <v>-167073.82227499998</v>
      </c>
      <c r="J10" s="90">
        <v>65.209999999999994</v>
      </c>
      <c r="K10" s="90">
        <v>65.489999999999995</v>
      </c>
      <c r="L10" s="90">
        <v>81.22</v>
      </c>
      <c r="M10" s="90">
        <v>95.78</v>
      </c>
      <c r="N10" s="90">
        <v>108.24</v>
      </c>
      <c r="P10" s="72"/>
      <c r="Q10" s="72"/>
      <c r="R10" s="72"/>
      <c r="S10" s="72"/>
      <c r="U10" s="73"/>
      <c r="V10" s="73"/>
      <c r="W10" s="74"/>
    </row>
    <row r="11" spans="2:35" x14ac:dyDescent="0.3">
      <c r="B11" s="30" t="s">
        <v>251</v>
      </c>
      <c r="C11" s="30" t="str">
        <f t="shared" si="0"/>
        <v>C4H10O1</v>
      </c>
      <c r="D11" s="30">
        <v>4</v>
      </c>
      <c r="E11" s="30">
        <v>10</v>
      </c>
      <c r="F11" s="30">
        <v>1</v>
      </c>
      <c r="G11" s="1">
        <v>-275100</v>
      </c>
      <c r="H11" s="1"/>
      <c r="I11" s="68">
        <v>-150732.629957514</v>
      </c>
      <c r="J11" s="69">
        <v>107.862628570374</v>
      </c>
      <c r="K11" s="69">
        <v>108.444694825917</v>
      </c>
      <c r="L11" s="69">
        <v>138.930579758638</v>
      </c>
      <c r="M11" s="69">
        <v>164.60240237629401</v>
      </c>
      <c r="N11" s="69">
        <v>185.97526546369201</v>
      </c>
      <c r="P11" s="70">
        <f>+$G11+$V11*($P$6-$J$8)+($U11/2)*($P$6^2-$J$8^2)</f>
        <v>-230504.79239131173</v>
      </c>
      <c r="Q11" s="70">
        <f>$I11*($P$6/$J$8)-$P$6*($G11*(1/$J$8-1/$P$6)+$V11*(LN($P$6/$J$8)-(1-$J$8/$P$6))+($U11/2)*(($P$6-$J$8)-($J$8)*(1-$J$8/$P$6)))</f>
        <v>-41017.339682386431</v>
      </c>
      <c r="R11" s="70">
        <v>-41188.993721749801</v>
      </c>
      <c r="S11" s="70"/>
      <c r="U11" s="41" cm="1">
        <f t="array" ref="U11:V11">+LINEST(J11:N11,$J$8:$N$8,,FALSE)</f>
        <v>0.26253779207496086</v>
      </c>
      <c r="V11" s="41">
        <v>30.994380510567183</v>
      </c>
      <c r="W11" s="47">
        <f>+PEARSON(J11:N11,$J$8:$N$8)^2</f>
        <v>0.99490408578130662</v>
      </c>
    </row>
    <row r="12" spans="2:35" x14ac:dyDescent="0.3">
      <c r="B12" s="71"/>
      <c r="C12" s="71" t="str">
        <f t="shared" si="0"/>
        <v/>
      </c>
      <c r="D12" s="71"/>
      <c r="E12" s="71"/>
      <c r="F12" s="71"/>
      <c r="G12" s="87">
        <v>-277000</v>
      </c>
      <c r="H12" s="87">
        <v>361.98</v>
      </c>
      <c r="I12" s="97">
        <f>+G12-$J$8*(H12-D11*$H$52-E11/2*$H$51-F11/2*$H$53)</f>
        <v>-152685.313975</v>
      </c>
      <c r="J12" s="90">
        <v>108.03</v>
      </c>
      <c r="K12" s="90">
        <v>108.58</v>
      </c>
      <c r="L12" s="90">
        <v>138.16</v>
      </c>
      <c r="M12" s="90">
        <v>164.42</v>
      </c>
      <c r="N12" s="90">
        <v>186.38</v>
      </c>
      <c r="P12" s="72"/>
      <c r="Q12" s="72"/>
      <c r="R12" s="72"/>
      <c r="S12" s="72"/>
      <c r="U12" s="72"/>
      <c r="V12" s="72"/>
      <c r="W12" s="74"/>
    </row>
    <row r="13" spans="2:35" x14ac:dyDescent="0.3">
      <c r="B13" s="30" t="s">
        <v>252</v>
      </c>
      <c r="C13" s="30" t="str">
        <f t="shared" si="0"/>
        <v>C6H14O1</v>
      </c>
      <c r="D13" s="30">
        <v>6</v>
      </c>
      <c r="E13" s="30">
        <v>14</v>
      </c>
      <c r="F13" s="30">
        <v>1</v>
      </c>
      <c r="G13" s="1">
        <v>-316200</v>
      </c>
      <c r="H13" s="1"/>
      <c r="I13" s="68">
        <v>-133932.629957514</v>
      </c>
      <c r="J13" s="69">
        <v>153.108836799763</v>
      </c>
      <c r="K13" s="69">
        <v>153.936649296274</v>
      </c>
      <c r="L13" s="69">
        <v>197.59000888380399</v>
      </c>
      <c r="M13" s="69">
        <v>234.52549121727</v>
      </c>
      <c r="N13" s="69">
        <v>264.936599091814</v>
      </c>
      <c r="P13" s="70">
        <f>+$G13+$V13*($P$6-$J$8)+($U13/2)*($P$6^2-$J$8^2)</f>
        <v>-252736.38138272197</v>
      </c>
      <c r="Q13" s="70">
        <f>$I13*($P$6/$J$8)-$P$6*($G13*(1/$J$8-1/$P$6)+$V13*(LN($P$6/$J$8)-(1-$J$8/$P$6))+($U13/2)*(($P$6-$J$8)-($J$8)*(1-$J$8/$P$6)))</f>
        <v>27533.786111758905</v>
      </c>
      <c r="R13" s="70">
        <v>27290.004966778099</v>
      </c>
      <c r="S13" s="70"/>
      <c r="U13" s="41" cm="1">
        <f t="array" ref="U13:V13">+LINEST(J13:N13,$J$8:$N$8,,FALSE)</f>
        <v>0.37608269050286869</v>
      </c>
      <c r="V13" s="41">
        <v>43.003937642066234</v>
      </c>
      <c r="W13" s="47">
        <f>+PEARSON(J13:N13,$J$8:$N$8)^2</f>
        <v>0.99477465600564285</v>
      </c>
    </row>
    <row r="14" spans="2:35" x14ac:dyDescent="0.3">
      <c r="B14" s="71"/>
      <c r="C14" s="71"/>
      <c r="D14" s="71"/>
      <c r="E14" s="71"/>
      <c r="F14" s="71"/>
      <c r="G14" s="87">
        <v>-316000</v>
      </c>
      <c r="H14" s="87">
        <v>439.7</v>
      </c>
      <c r="I14" s="97">
        <f>+G14-$J$8*(H14-D13*$H$52-E13/2*$H$51-F13/2*$H$53)</f>
        <v>-133510.28597500004</v>
      </c>
      <c r="J14" s="107">
        <f>10.719+0.55767*J8-0.00021818*J8^2-0.000000032298*J8^3+0.000000000029769*J8^4</f>
        <v>156.97276699407698</v>
      </c>
      <c r="K14" s="107">
        <f t="shared" ref="K14:N14" si="1">10.719+0.55767*K8-0.00021818*K8^2-0.000000032298*K8^3+0.000000000029769*K8^4</f>
        <v>157.75288289999997</v>
      </c>
      <c r="L14" s="107">
        <f t="shared" si="1"/>
        <v>197.57321439999998</v>
      </c>
      <c r="M14" s="107">
        <f t="shared" si="1"/>
        <v>232.83231249999994</v>
      </c>
      <c r="N14" s="107">
        <f t="shared" si="1"/>
        <v>263.65789439999998</v>
      </c>
      <c r="P14" s="72"/>
      <c r="Q14" s="72"/>
      <c r="R14" s="72"/>
      <c r="S14" s="72"/>
      <c r="U14" s="73"/>
      <c r="V14" s="73"/>
      <c r="W14" s="74"/>
    </row>
    <row r="15" spans="2:35" x14ac:dyDescent="0.3">
      <c r="B15" s="30" t="s">
        <v>253</v>
      </c>
      <c r="C15" s="30" t="str">
        <f t="shared" ref="C15" si="2">IF(D15="","","C")&amp;D15&amp;IF(E15="","","H")&amp;E15&amp;IF(F15="","","O")&amp;F15</f>
        <v/>
      </c>
      <c r="G15" s="1">
        <v>-357300</v>
      </c>
      <c r="H15" s="1"/>
      <c r="I15" s="68">
        <v>-117032.629957514</v>
      </c>
      <c r="J15" s="69">
        <v>198.320234027292</v>
      </c>
      <c r="K15" s="69">
        <v>199.39397619761101</v>
      </c>
      <c r="L15" s="69">
        <v>256.24076529488201</v>
      </c>
      <c r="M15" s="69">
        <v>304.42929179250302</v>
      </c>
      <c r="N15" s="69">
        <v>343.834273933107</v>
      </c>
      <c r="P15" s="70">
        <f>+$G15+$V15*($P$6-$J$8)+($U15/2)*($P$6^2-$J$8^2)</f>
        <v>-274978.19522865105</v>
      </c>
      <c r="Q15" s="70">
        <f>$I15*($P$6/$J$8)-$P$6*($G15*(1/$J$8-1/$P$6)+$V15*(LN($P$6/$J$8)-(1-$J$8/$P$6))+($U15/2)*(($P$6-$J$8)-($J$8)*(1-$J$8/$P$6)))</f>
        <v>96289.029848683625</v>
      </c>
      <c r="R15" s="70">
        <v>95971.970038019703</v>
      </c>
      <c r="S15" s="70"/>
      <c r="U15" s="41" cm="1">
        <f t="array" ref="U15:V15">+LINEST(J15:N15,$J$8:$N$8,,FALSE)</f>
        <v>0.48956197950271635</v>
      </c>
      <c r="V15" s="41">
        <v>55.008814790354137</v>
      </c>
      <c r="W15" s="47">
        <f>+PEARSON(J15:N15,$J$8:$N$8)^2</f>
        <v>0.99465917198711629</v>
      </c>
      <c r="AI15" s="3"/>
    </row>
    <row r="16" spans="2:35" x14ac:dyDescent="0.3">
      <c r="B16" s="71"/>
      <c r="C16" s="71"/>
      <c r="D16" s="71"/>
      <c r="E16" s="71"/>
      <c r="F16" s="71"/>
      <c r="G16" s="87">
        <v>-356000</v>
      </c>
      <c r="H16" s="17"/>
      <c r="I16" s="100">
        <v>-117360</v>
      </c>
      <c r="J16" s="107">
        <f>13.196+0.72493*J8-0.00027623*J8^2-0.00000005838*J8^3+0.000000000045179*J8^4</f>
        <v>203.58857704810049</v>
      </c>
      <c r="K16" s="107">
        <f t="shared" ref="K16:N16" si="3">13.196+0.72493*K8-0.00027623*K8^2-0.00000005838*K8^3+0.000000000045179*K8^4</f>
        <v>204.60398989999999</v>
      </c>
      <c r="L16" s="107">
        <f t="shared" si="3"/>
        <v>256.39146240000002</v>
      </c>
      <c r="M16" s="107">
        <f t="shared" si="3"/>
        <v>302.12968749999999</v>
      </c>
      <c r="N16" s="107">
        <f t="shared" si="3"/>
        <v>341.95631840000004</v>
      </c>
      <c r="P16" s="72"/>
      <c r="Q16" s="72"/>
      <c r="R16" s="72"/>
      <c r="S16" s="72"/>
      <c r="U16" s="73"/>
      <c r="V16" s="73"/>
      <c r="W16" s="74"/>
      <c r="AI16" s="3"/>
    </row>
    <row r="17" spans="2:23" x14ac:dyDescent="0.3">
      <c r="B17" s="30" t="s">
        <v>254</v>
      </c>
      <c r="C17" s="30" t="str">
        <f t="shared" ref="C17" si="4">IF(D17="","","C")&amp;D17&amp;IF(E17="","","H")&amp;E17&amp;IF(F17="","","O")&amp;F17</f>
        <v/>
      </c>
      <c r="G17" s="1">
        <v>-398500</v>
      </c>
      <c r="H17" s="1"/>
      <c r="I17" s="68">
        <v>-100232.629957514</v>
      </c>
      <c r="J17" s="69">
        <v>243.53747495816799</v>
      </c>
      <c r="K17" s="69">
        <v>244.857024231293</v>
      </c>
      <c r="L17" s="69">
        <v>314.899466093184</v>
      </c>
      <c r="M17" s="69">
        <v>374.36392145604299</v>
      </c>
      <c r="N17" s="69">
        <v>422.78508732337298</v>
      </c>
      <c r="P17" s="70">
        <f>+$G17+$V17*($P$6-$J$8)+($U17/2)*($P$6^2-$J$8^2)</f>
        <v>-297312.48642956116</v>
      </c>
      <c r="Q17" s="70">
        <f>$I17*($P$6/$J$8)-$P$6*($G17*(1/$J$8-1/$P$6)+$V17*(LN($P$6/$J$8)-(1-$J$8/$P$6))+($U17/2)*(($P$6-$J$8)-($J$8)*(1-$J$8/$P$6)))</f>
        <v>164942.45772517909</v>
      </c>
      <c r="R17" s="70">
        <v>164552.665547754</v>
      </c>
      <c r="S17" s="70"/>
      <c r="U17" s="41" cm="1">
        <f t="array" ref="U17:V17">+LINEST(J17:N17,$J$8:$N$8,,FALSE)</f>
        <v>0.60319484884468744</v>
      </c>
      <c r="V17" s="41">
        <v>66.969940391715994</v>
      </c>
      <c r="W17" s="47">
        <f>+PEARSON(J17:N17,$J$8:$N$8)^2</f>
        <v>0.99459909520121281</v>
      </c>
    </row>
    <row r="18" spans="2:23" x14ac:dyDescent="0.3">
      <c r="B18" s="71"/>
      <c r="C18" s="71"/>
      <c r="D18" s="71"/>
      <c r="E18" s="71"/>
      <c r="F18" s="71"/>
      <c r="G18" s="87">
        <v>-395000</v>
      </c>
      <c r="H18" s="17"/>
      <c r="I18" s="100">
        <v>-105520</v>
      </c>
      <c r="J18" s="107">
        <f>15.733+0.89157*J8-0.00033219*J8^2-0.000000086679*J8^3+0.000000000061276*J8^4</f>
        <v>250.21199163363929</v>
      </c>
      <c r="K18" s="107">
        <f t="shared" ref="K18:N18" si="5">15.733+0.89157*K8-0.00033219*K8^2-0.000000086679*K8^3+0.000000000061276*K8^4</f>
        <v>251.46290260000004</v>
      </c>
      <c r="L18" s="107">
        <f t="shared" si="5"/>
        <v>315.23180959999996</v>
      </c>
      <c r="M18" s="107">
        <f t="shared" si="5"/>
        <v>371.46537499999994</v>
      </c>
      <c r="N18" s="107">
        <f t="shared" si="5"/>
        <v>420.30530559999994</v>
      </c>
      <c r="P18" s="72"/>
      <c r="Q18" s="72"/>
      <c r="R18" s="72"/>
      <c r="S18" s="72"/>
      <c r="U18" s="41"/>
      <c r="V18" s="41"/>
      <c r="W18" s="47"/>
    </row>
    <row r="19" spans="2:23" x14ac:dyDescent="0.3">
      <c r="B19" s="102" t="s">
        <v>26</v>
      </c>
      <c r="C19" s="102" t="str">
        <f t="shared" ref="C19:C29" si="6">IF(D19="","","C")&amp;D19&amp;IF(E19="","","H")&amp;E19&amp;IF(F19="","","O")&amp;F19</f>
        <v/>
      </c>
      <c r="D19" s="102"/>
      <c r="E19" s="102"/>
      <c r="F19" s="102"/>
      <c r="G19" s="103">
        <v>-319200</v>
      </c>
      <c r="H19" s="103"/>
      <c r="I19" s="104">
        <v>-132632.629957514</v>
      </c>
      <c r="J19" s="105">
        <v>155.150466554274</v>
      </c>
      <c r="K19" s="105">
        <v>155.83089108539801</v>
      </c>
      <c r="L19" s="105">
        <v>195.73008151595701</v>
      </c>
      <c r="M19" s="105">
        <v>232.93339617289701</v>
      </c>
      <c r="N19" s="105">
        <v>263.774125713915</v>
      </c>
      <c r="P19" s="70">
        <f>+$G19+$V19*($P$6-$J$8)+($U19/2)*($P$6^2-$J$8^2)</f>
        <v>-255874.06899481759</v>
      </c>
      <c r="Q19" s="70">
        <f>$I20*($P$6/$J$8)-$P$6*($G19*(1/$J$8-1/$P$6)+$V19*(LN($P$6/$J$8)-(1-$J$8/$P$6))+($U19/2)*(($P$6-$J$8)-($J$8)*(1-$J$8/$P$6)))</f>
        <v>18131.280262506334</v>
      </c>
      <c r="R19" s="70">
        <v>33014.946437832499</v>
      </c>
      <c r="S19" s="92">
        <v>24581</v>
      </c>
      <c r="U19" s="73" cm="1">
        <f t="array" ref="U19:V19">+LINEST(J19:N19,$J$8:$N$8,,FALSE)</f>
        <v>0.36474910502991353</v>
      </c>
      <c r="V19" s="73">
        <v>47.62412526478559</v>
      </c>
      <c r="W19" s="74">
        <f>+PEARSON(J19:N19,$J$8:$N$8)^2</f>
        <v>0.99739889865144415</v>
      </c>
    </row>
    <row r="20" spans="2:23" x14ac:dyDescent="0.3">
      <c r="B20" s="71"/>
      <c r="C20" s="71"/>
      <c r="D20" s="71"/>
      <c r="E20" s="71"/>
      <c r="F20" s="71"/>
      <c r="G20" s="106">
        <v>-326100</v>
      </c>
      <c r="H20" s="17"/>
      <c r="I20" s="100">
        <v>-140110</v>
      </c>
      <c r="J20" s="107">
        <f>-25.284+0.76092*J8-0.00061315*J8^2+0.00000027815*J8^3-0.000000000053099*J8^4</f>
        <v>154.03167462762573</v>
      </c>
      <c r="K20" s="107">
        <f t="shared" ref="K20:N20" si="7">-25.284+0.76092*K8-0.00061315*K8^2+0.00000027815*K8^3-0.000000000053099*K8^4</f>
        <v>154.88844810000001</v>
      </c>
      <c r="L20" s="107">
        <f t="shared" si="7"/>
        <v>197.42226560000003</v>
      </c>
      <c r="M20" s="107">
        <f t="shared" si="7"/>
        <v>233.33856250000002</v>
      </c>
      <c r="N20" s="107">
        <f t="shared" si="7"/>
        <v>263.73276960000004</v>
      </c>
      <c r="P20" s="72"/>
      <c r="Q20" s="72"/>
      <c r="R20" s="72"/>
      <c r="S20" s="91"/>
      <c r="U20" s="41"/>
      <c r="V20" s="41"/>
      <c r="W20" s="47"/>
    </row>
    <row r="21" spans="2:23" x14ac:dyDescent="0.3">
      <c r="B21" s="30" t="s">
        <v>255</v>
      </c>
      <c r="C21" s="30" t="str">
        <f t="shared" si="6"/>
        <v/>
      </c>
      <c r="G21" s="1">
        <v>-363000</v>
      </c>
      <c r="H21" s="1"/>
      <c r="I21" s="68">
        <v>-117432.629957514</v>
      </c>
      <c r="J21" s="69">
        <v>199.66884777857601</v>
      </c>
      <c r="K21" s="69">
        <v>200.65768179065199</v>
      </c>
      <c r="L21" s="69">
        <v>255.20644071275998</v>
      </c>
      <c r="M21" s="69">
        <v>303.05607462532703</v>
      </c>
      <c r="N21" s="69">
        <v>342.01647774144402</v>
      </c>
      <c r="P21" s="70">
        <f>+$G21+$V21*($P$6-$J$8)+($U21/2)*($P$6^2-$J$8^2)</f>
        <v>-280866.59606740827</v>
      </c>
      <c r="Q21" s="70">
        <f>$I21*($P$6/$J$8)-$P$6*($G21*(1/$J$8-1/$P$6)+$V21*(LN($P$6/$J$8)-(1-$J$8/$P$6))+($U21/2)*(($P$6-$J$8)-($J$8)*(1-$J$8/$P$6)))</f>
        <v>101218.04911924418</v>
      </c>
      <c r="R21" s="70">
        <v>100962.19335811101</v>
      </c>
      <c r="S21" s="92">
        <v>91945</v>
      </c>
      <c r="U21" s="41" cm="1">
        <f t="array" ref="U21:V21">+LINEST(J21:N21,$J$8:$N$8,,FALSE)</f>
        <v>0.47885373698762973</v>
      </c>
      <c r="V21" s="41">
        <v>59.179710877632715</v>
      </c>
      <c r="W21" s="47">
        <f>+PEARSON(J21:N21,$J$8:$N$8)^2</f>
        <v>0.99556651307035826</v>
      </c>
    </row>
    <row r="22" spans="2:23" x14ac:dyDescent="0.3">
      <c r="B22" s="71"/>
      <c r="C22" s="71" t="str">
        <f t="shared" si="6"/>
        <v/>
      </c>
      <c r="D22" s="71"/>
      <c r="E22" s="71"/>
      <c r="F22" s="71"/>
      <c r="G22" s="87">
        <f>-367.5*1000</f>
        <v>-367500</v>
      </c>
      <c r="H22" s="17"/>
      <c r="I22" s="100">
        <v>-118880</v>
      </c>
      <c r="J22" s="107">
        <f>-8.577+0.8385*J8-0.00050979*J8^2+0.00000014511*J8^3-0.000000000014766*J8^4</f>
        <v>199.83404922405589</v>
      </c>
      <c r="K22" s="107">
        <f t="shared" ref="K22:N22" si="8">-8.577+0.8385*K8-0.00050979*K8^2+0.00000014511*K8^3-0.000000000014766*K8^4</f>
        <v>200.8902654</v>
      </c>
      <c r="L22" s="107">
        <f t="shared" si="8"/>
        <v>254.16563040000003</v>
      </c>
      <c r="M22" s="107">
        <f t="shared" si="8"/>
        <v>300.44137500000005</v>
      </c>
      <c r="N22" s="107">
        <f t="shared" si="8"/>
        <v>340.4286864</v>
      </c>
      <c r="P22" s="72"/>
      <c r="Q22" s="72"/>
      <c r="R22" s="72"/>
      <c r="S22" s="72"/>
      <c r="U22" s="73"/>
      <c r="V22" s="73"/>
      <c r="W22" s="74"/>
    </row>
    <row r="23" spans="2:23" x14ac:dyDescent="0.3">
      <c r="B23" s="30" t="s">
        <v>256</v>
      </c>
      <c r="C23" s="30" t="str">
        <f t="shared" si="6"/>
        <v>C2H4O1</v>
      </c>
      <c r="D23" s="30">
        <v>2</v>
      </c>
      <c r="E23" s="30">
        <v>4</v>
      </c>
      <c r="F23" s="30">
        <v>1</v>
      </c>
      <c r="G23" s="1">
        <v>-171000</v>
      </c>
      <c r="H23" s="1"/>
      <c r="I23" s="68">
        <v>-137832.629957514</v>
      </c>
      <c r="J23" s="69">
        <v>54.732309002443301</v>
      </c>
      <c r="K23" s="69">
        <v>54.899237728859198</v>
      </c>
      <c r="L23" s="69">
        <v>65.513958343734799</v>
      </c>
      <c r="M23" s="69">
        <v>76.517617136985905</v>
      </c>
      <c r="N23" s="69">
        <v>86.127046583672197</v>
      </c>
      <c r="P23" s="70">
        <f>+$G23+$V23*($P$6-$J$8)+($U23/2)*($P$6^2-$J$8^2)</f>
        <v>-149834.830748432</v>
      </c>
      <c r="Q23" s="70">
        <f>$I23*($P$6/$J$8)-$P$6*($G23*(1/$J$8-1/$P$6)+$V23*(LN($P$6/$J$8)-(1-$J$8/$P$6))+($U23/2)*(($P$6-$J$8)-($J$8)*(1-$J$8/$P$6)))</f>
        <v>-111921.15962493679</v>
      </c>
      <c r="R23" s="70">
        <v>-111917.48430004</v>
      </c>
      <c r="S23" s="70"/>
      <c r="U23" s="41" cm="1">
        <f t="array" ref="U23:V23">+LINEST(J23:N23,$J$8:$N$8,,FALSE)</f>
        <v>0.10492743382728857</v>
      </c>
      <c r="V23" s="41">
        <v>23.527334702193976</v>
      </c>
      <c r="W23" s="47">
        <f>+PEARSON(J23:N23,$J$8:$N$8)^2</f>
        <v>0.99943985219468567</v>
      </c>
    </row>
    <row r="24" spans="2:23" x14ac:dyDescent="0.3">
      <c r="B24" s="71"/>
      <c r="C24" s="71" t="str">
        <f t="shared" si="6"/>
        <v/>
      </c>
      <c r="D24" s="71"/>
      <c r="E24" s="71"/>
      <c r="F24" s="71"/>
      <c r="G24" s="87">
        <v>-170700</v>
      </c>
      <c r="H24" s="88">
        <v>263.83999999999997</v>
      </c>
      <c r="I24" s="89">
        <f>+G24-$J$8*(H24-D23*$H$52-E23/2*$H$51-F23/2*$H$53)</f>
        <v>-137434.36097499999</v>
      </c>
      <c r="J24" s="90">
        <v>55.32</v>
      </c>
      <c r="K24" s="90">
        <v>55.51</v>
      </c>
      <c r="L24" s="90">
        <v>66.28</v>
      </c>
      <c r="M24" s="90">
        <v>76.680000000000007</v>
      </c>
      <c r="N24" s="90">
        <v>85.94</v>
      </c>
      <c r="P24" s="72"/>
      <c r="Q24" s="72"/>
      <c r="R24" s="72"/>
      <c r="S24" s="72"/>
      <c r="U24" s="73"/>
      <c r="V24" s="73"/>
      <c r="W24" s="74">
        <f>+PEARSON(J24:N24,$J$8:$N$8)^2</f>
        <v>0.99906882093586957</v>
      </c>
    </row>
    <row r="25" spans="2:23" x14ac:dyDescent="0.3">
      <c r="B25" s="30" t="s">
        <v>257</v>
      </c>
      <c r="C25" s="30" t="str">
        <f t="shared" si="6"/>
        <v>C4H8O1</v>
      </c>
      <c r="D25" s="30">
        <v>4</v>
      </c>
      <c r="E25" s="30">
        <v>8</v>
      </c>
      <c r="F25" s="30">
        <v>1</v>
      </c>
      <c r="G25" s="1">
        <v>-206200</v>
      </c>
      <c r="H25" s="1"/>
      <c r="I25" s="68">
        <v>-114832.629957514</v>
      </c>
      <c r="J25" s="69">
        <v>102.833436837939</v>
      </c>
      <c r="K25" s="69">
        <v>103.179257485891</v>
      </c>
      <c r="L25" s="69">
        <v>125.14959505183701</v>
      </c>
      <c r="M25" s="69">
        <v>148.090419579024</v>
      </c>
      <c r="N25" s="69">
        <v>168.36397127263001</v>
      </c>
      <c r="P25" s="70">
        <f>+$G25+$V25*($P$6-$J$8)+($U25/2)*($P$6^2-$J$8^2)</f>
        <v>-165470.76348115935</v>
      </c>
      <c r="Q25" s="70">
        <f>$I25*($P$6/$J$8)-$P$6*($G25*(1/$J$8-1/$P$6)+$V25*(LN($P$6/$J$8)-(1-$J$8/$P$6))+($U25/2)*(($P$6-$J$8)-($J$8)*(1-$J$8/$P$6)))</f>
        <v>-37135.713455298508</v>
      </c>
      <c r="R25" s="70">
        <v>-37121.769516602799</v>
      </c>
      <c r="S25" s="70"/>
      <c r="U25" s="41" cm="1">
        <f t="array" ref="U25:V25">+LINEST(J25:N25,$J$8:$N$8,,FALSE)</f>
        <v>0.21882137741951854</v>
      </c>
      <c r="V25" s="41">
        <v>37.699321438911625</v>
      </c>
      <c r="W25" s="47">
        <f>+PEARSON(J25:N25,$J$8:$N$8)^2</f>
        <v>0.99957265080429303</v>
      </c>
    </row>
    <row r="26" spans="2:23" x14ac:dyDescent="0.3">
      <c r="B26" s="71"/>
      <c r="C26" s="71" t="str">
        <f t="shared" si="6"/>
        <v/>
      </c>
      <c r="D26" s="71"/>
      <c r="E26" s="71"/>
      <c r="F26" s="71"/>
      <c r="G26" s="87">
        <f>+AVERAGE(-211.8,-204.4,-206.7,-205.1)*1000</f>
        <v>-207000.00000000003</v>
      </c>
      <c r="H26" s="87">
        <v>344.8</v>
      </c>
      <c r="I26" s="97">
        <f>+G26-$J$8*(H26-D25*$H$52-E25/2*$H$51-F25/2*$H$53)</f>
        <v>-116525.33897500005</v>
      </c>
      <c r="J26" s="107">
        <f>64.374+0.064776*J8+0.00035143*J8^2-0.00000035371*J8^3+0.00000000010082*J8^4</f>
        <v>106.3488844681452</v>
      </c>
      <c r="K26" s="107">
        <f t="shared" ref="K26:N26" si="9">64.374+0.064776*K8+0.00035143*K8^2-0.00000035371*K8^3+0.00000000010082*K8^4</f>
        <v>106.701972</v>
      </c>
      <c r="L26" s="107">
        <f t="shared" si="9"/>
        <v>126.45675199999998</v>
      </c>
      <c r="M26" s="107">
        <f t="shared" si="9"/>
        <v>146.70700000000002</v>
      </c>
      <c r="N26" s="107">
        <f t="shared" si="9"/>
        <v>166.41931200000002</v>
      </c>
      <c r="P26" s="72"/>
      <c r="Q26" s="72"/>
      <c r="R26" s="72"/>
      <c r="S26" s="72"/>
      <c r="U26" s="73"/>
      <c r="V26" s="73"/>
      <c r="W26" s="74"/>
    </row>
    <row r="27" spans="2:23" x14ac:dyDescent="0.3">
      <c r="B27" s="30" t="s">
        <v>258</v>
      </c>
      <c r="C27" s="30" t="str">
        <f t="shared" si="6"/>
        <v>C4H8O2</v>
      </c>
      <c r="D27" s="30">
        <v>4</v>
      </c>
      <c r="E27" s="30">
        <v>8</v>
      </c>
      <c r="F27" s="30">
        <v>2</v>
      </c>
      <c r="G27" s="1">
        <v>-444500</v>
      </c>
      <c r="H27" s="1"/>
      <c r="I27" s="68">
        <v>-328032.629957514</v>
      </c>
      <c r="J27" s="69">
        <v>113.630177847846</v>
      </c>
      <c r="K27" s="69">
        <v>113.994637837234</v>
      </c>
      <c r="L27" s="69">
        <v>137.448399039534</v>
      </c>
      <c r="M27" s="69">
        <v>161.835677057271</v>
      </c>
      <c r="N27" s="69">
        <v>182.66182757093</v>
      </c>
      <c r="P27" s="70">
        <f>+$G27+$V27*($P$6-$J$8)+($U27/2)*($P$6^2-$J$8^2)</f>
        <v>-399948.92506609776</v>
      </c>
      <c r="Q27" s="70">
        <f>$I27*($P$6/$J$8)-$P$6*($G27*(1/$J$8-1/$P$6)+$V27*(LN($P$6/$J$8)-(1-$J$8/$P$6))+($U27/2)*(($P$6-$J$8)-($J$8)*(1-$J$8/$P$6)))</f>
        <v>-226475.68322699104</v>
      </c>
      <c r="R27" s="70">
        <v>-226469.70572868499</v>
      </c>
      <c r="S27" s="70"/>
      <c r="U27" s="41" cm="1">
        <f t="array" ref="U27:V27">+LINEST(J27:N27,$J$8:$N$8,,FALSE)</f>
        <v>0.23104625674770396</v>
      </c>
      <c r="V27" s="41">
        <v>44.960203151523999</v>
      </c>
      <c r="W27" s="47">
        <f>+PEARSON(J27:N27,$J$8:$N$8)^2</f>
        <v>0.99922980173147524</v>
      </c>
    </row>
    <row r="28" spans="2:23" x14ac:dyDescent="0.3">
      <c r="B28" s="71"/>
      <c r="C28" s="71" t="str">
        <f t="shared" si="6"/>
        <v/>
      </c>
      <c r="D28" s="71"/>
      <c r="E28" s="71"/>
      <c r="F28" s="71"/>
      <c r="G28" s="97">
        <f>+AVERAGE(-445.43,-443.8,-443.8,-446.9)*1000</f>
        <v>-444982.49999999994</v>
      </c>
      <c r="H28" s="87">
        <v>362.75</v>
      </c>
      <c r="I28" s="97">
        <f>+G28-$J$8*(H28-D27*$H$52-E27/2*$H$51-F27/2*$H$53)</f>
        <v>-329277.34244999994</v>
      </c>
      <c r="J28" s="90">
        <v>113.64</v>
      </c>
      <c r="K28" s="90">
        <v>113.97</v>
      </c>
      <c r="L28" s="90">
        <v>137.4</v>
      </c>
      <c r="M28" s="90">
        <v>161.91999999999999</v>
      </c>
      <c r="N28" s="90">
        <v>182.63</v>
      </c>
      <c r="P28" s="72"/>
      <c r="Q28" s="72"/>
      <c r="R28" s="72"/>
      <c r="S28" s="72"/>
      <c r="U28" s="73"/>
      <c r="V28" s="73"/>
      <c r="W28" s="74"/>
    </row>
    <row r="29" spans="2:23" x14ac:dyDescent="0.3">
      <c r="B29" s="30" t="s">
        <v>259</v>
      </c>
      <c r="C29" s="30" t="str">
        <f t="shared" si="6"/>
        <v/>
      </c>
      <c r="G29" s="1">
        <v>-485600</v>
      </c>
      <c r="H29" s="1"/>
      <c r="I29" s="68">
        <v>-312632.629957514</v>
      </c>
      <c r="J29" s="69">
        <v>152.812119258644</v>
      </c>
      <c r="K29" s="69">
        <v>153.57796940293301</v>
      </c>
      <c r="L29" s="69">
        <v>196.455189289434</v>
      </c>
      <c r="M29" s="69">
        <v>233.205517990261</v>
      </c>
      <c r="N29" s="69">
        <v>261.67695959143703</v>
      </c>
      <c r="P29" s="70">
        <f>+$G29+$V29*($P$6-$J$8)+($U29/2)*($P$6^2-$J$8^2)</f>
        <v>-422592.67213354126</v>
      </c>
      <c r="Q29" s="70">
        <f>$I29*($P$6/$J$8)-$P$6*($G29*(1/$J$8-1/$P$6)+$V29*(LN($P$6/$J$8)-(1-$J$8/$P$6))+($U29/2)*(($P$6-$J$8)-($J$8)*(1-$J$8/$P$6)))</f>
        <v>-160409.06882601033</v>
      </c>
      <c r="R29" s="70">
        <v>-160641.32411603199</v>
      </c>
      <c r="S29" s="70"/>
      <c r="U29" s="41" cm="1">
        <f t="array" ref="U29:V29">+LINEST(J29:N29,$J$8:$N$8,,FALSE)</f>
        <v>0.36742198860404762</v>
      </c>
      <c r="V29" s="41">
        <v>45.364262028625319</v>
      </c>
      <c r="W29" s="47">
        <f>+PEARSON(J29:N29,$J$8:$N$8)^2</f>
        <v>0.99358569723971601</v>
      </c>
    </row>
    <row r="30" spans="2:23" x14ac:dyDescent="0.3">
      <c r="B30" s="71"/>
      <c r="C30" s="71"/>
      <c r="D30" s="71"/>
      <c r="E30" s="71"/>
      <c r="F30" s="71"/>
      <c r="G30" s="88">
        <v>-485300</v>
      </c>
      <c r="H30" s="17"/>
      <c r="I30" s="100">
        <v>-312300</v>
      </c>
      <c r="J30" s="107">
        <f>85.139+0.071561*J8+0.00087842*J8^2-0.0000010725*J8^3+0.00000000037362*J8^4</f>
        <v>159.0879497104261</v>
      </c>
      <c r="K30" s="107">
        <f t="shared" ref="K30:N30" si="10">85.139+0.071561*K8+0.00087842*K8^2-0.0000010725*K8^3+0.00000000037362*K8^4</f>
        <v>159.73392200000001</v>
      </c>
      <c r="L30" s="107">
        <f t="shared" si="10"/>
        <v>195.23527200000001</v>
      </c>
      <c r="M30" s="107">
        <f t="shared" si="10"/>
        <v>229.81324999999998</v>
      </c>
      <c r="N30" s="107">
        <f t="shared" si="10"/>
        <v>261.06795200000005</v>
      </c>
      <c r="P30" s="72"/>
      <c r="Q30" s="72"/>
      <c r="R30" s="72"/>
      <c r="S30" s="72"/>
      <c r="U30" s="73"/>
      <c r="V30" s="73"/>
      <c r="W30" s="74"/>
    </row>
    <row r="31" spans="2:23" x14ac:dyDescent="0.3">
      <c r="B31" s="30" t="s">
        <v>260</v>
      </c>
      <c r="C31" s="30" t="str">
        <f t="shared" ref="C31" si="11">IF(D31="","","C")&amp;D31&amp;IF(E31="","","H")&amp;E31&amp;IF(F31="","","O")&amp;F31</f>
        <v/>
      </c>
      <c r="G31" s="1">
        <v>-485500</v>
      </c>
      <c r="H31" s="1"/>
      <c r="I31" s="68">
        <v>-312232.629957514</v>
      </c>
      <c r="J31" s="69">
        <v>155.90023898841801</v>
      </c>
      <c r="K31" s="69">
        <v>156.70893436210201</v>
      </c>
      <c r="L31" s="69">
        <v>199.31060919978401</v>
      </c>
      <c r="M31" s="69">
        <v>234.44533480482301</v>
      </c>
      <c r="N31" s="69">
        <v>262.47940829707102</v>
      </c>
      <c r="P31" s="70">
        <f>+$G31+$V31*($P$6-$J$8)+($U31/2)*($P$6^2-$J$8^2)</f>
        <v>-421895.83875333029</v>
      </c>
      <c r="Q31" s="70">
        <f>$I31*($P$6/$J$8)-$P$6*($G31*(1/$J$8-1/$P$6)+$V31*(LN($P$6/$J$8)-(1-$J$8/$P$6))+($U31/2)*(($P$6-$J$8)-($J$8)*(1-$J$8/$P$6)))</f>
        <v>-159997.87372222985</v>
      </c>
      <c r="R31" s="70">
        <v>-160266.18461918901</v>
      </c>
      <c r="S31" s="70"/>
      <c r="U31" s="41" cm="1">
        <f t="array" ref="U31:V31">+LINEST(J31:N31,$J$8:$N$8,,FALSE)</f>
        <v>0.35922039592541694</v>
      </c>
      <c r="V31" s="41">
        <v>51.029250388256912</v>
      </c>
      <c r="W31" s="47">
        <f>+PEARSON(J31:N31,$J$8:$N$8)^2</f>
        <v>0.99307678875041705</v>
      </c>
    </row>
    <row r="32" spans="2:23" x14ac:dyDescent="0.3">
      <c r="B32" s="71"/>
      <c r="C32" s="71"/>
      <c r="D32" s="71"/>
      <c r="E32" s="71"/>
      <c r="F32" s="71"/>
      <c r="G32" s="87">
        <v>-485000</v>
      </c>
      <c r="H32" s="17"/>
      <c r="I32" s="100">
        <v>-312200</v>
      </c>
      <c r="J32" s="107">
        <f>-16.529+0.72624*J8-0.0005189*J8^2+0.00000012305*J8^3+0.000000000023936*J8^4</f>
        <v>157.3230670783403</v>
      </c>
      <c r="K32" s="107">
        <f t="shared" ref="K32:N32" si="12">-16.529+0.72624*K8-0.0005189*K8^2+0.00000012305*K8^3+0.000000000023936*K8^4</f>
        <v>158.15823159999999</v>
      </c>
      <c r="L32" s="107">
        <f t="shared" si="12"/>
        <v>199.43096159999999</v>
      </c>
      <c r="M32" s="107">
        <f t="shared" si="12"/>
        <v>233.74325000000002</v>
      </c>
      <c r="N32" s="107">
        <f t="shared" si="12"/>
        <v>262.09190559999996</v>
      </c>
      <c r="O32" s="107"/>
      <c r="P32" s="72"/>
      <c r="Q32" s="72"/>
      <c r="R32" s="72"/>
      <c r="S32" s="72"/>
      <c r="U32" s="73"/>
      <c r="V32" s="73"/>
      <c r="W32" s="74"/>
    </row>
    <row r="33" spans="2:23" x14ac:dyDescent="0.3">
      <c r="B33" s="102" t="s">
        <v>261</v>
      </c>
      <c r="C33" s="102" t="str">
        <f t="shared" ref="C33:C37" si="13">IF(D33="","","C")&amp;D33&amp;IF(E33="","","H")&amp;E33&amp;IF(F33="","","O")&amp;F33</f>
        <v/>
      </c>
      <c r="D33" s="102"/>
      <c r="E33" s="102"/>
      <c r="F33" s="102"/>
      <c r="G33" s="103">
        <v>-524900</v>
      </c>
      <c r="H33" s="103"/>
      <c r="I33" s="104">
        <v>-294132.629957514</v>
      </c>
      <c r="J33" s="105">
        <v>201.28333573707201</v>
      </c>
      <c r="K33" s="105">
        <v>202.33749016946399</v>
      </c>
      <c r="L33" s="105">
        <v>258.05740494371901</v>
      </c>
      <c r="M33" s="105">
        <v>304.12017821606003</v>
      </c>
      <c r="N33" s="105">
        <v>340.924625883847</v>
      </c>
      <c r="P33" s="70">
        <f>+$G33+$V33*($P$6-$J$8)+($U33/2)*($P$6^2-$J$8^2)</f>
        <v>-442470.10453217122</v>
      </c>
      <c r="Q33" s="70">
        <f>$I33*($P$6/$J$8)-$P$6*($G33*(1/$J$8-1/$P$6)+$V33*(LN($P$6/$J$8)-(1-$J$8/$P$6))+($U33/2)*(($P$6-$J$8)-($J$8)*(1-$J$8/$P$6)))</f>
        <v>-90548.183406448108</v>
      </c>
      <c r="R33" s="70">
        <v>-90894.884596767093</v>
      </c>
      <c r="S33" s="70"/>
      <c r="U33" s="41" cm="1">
        <f t="array" ref="U33:V33">+LINEST(J33:N33,$J$8:$N$8,,FALSE)</f>
        <v>0.47060698583673244</v>
      </c>
      <c r="V33" s="41">
        <v>63.863797523364354</v>
      </c>
      <c r="W33" s="47">
        <f>+PEARSON(J33:N33,$J$8:$N$8)^2</f>
        <v>0.99320123841108843</v>
      </c>
    </row>
    <row r="34" spans="2:23" x14ac:dyDescent="0.3">
      <c r="B34" s="71"/>
      <c r="C34" s="71"/>
      <c r="D34" s="71"/>
      <c r="E34" s="71"/>
      <c r="F34" s="71"/>
      <c r="G34" s="106">
        <v>-524900</v>
      </c>
      <c r="H34" s="17"/>
      <c r="I34" s="100">
        <v>-294100</v>
      </c>
      <c r="J34" s="107">
        <f>14.674+0.78762*J8-0.00039225*J8^2+0.000000042787*J8^3+0.000000000015217*J8^4</f>
        <v>215.88871179287929</v>
      </c>
      <c r="K34" s="107">
        <f t="shared" ref="K34:N34" si="14">14.674+0.78762*K8-0.00039225*K8^2+0.000000042787*K8^3+0.000000000015217*K8^4</f>
        <v>216.93600670000001</v>
      </c>
      <c r="L34" s="107">
        <f t="shared" si="14"/>
        <v>270.08992319999999</v>
      </c>
      <c r="M34" s="107">
        <f t="shared" si="14"/>
        <v>316.72093749999993</v>
      </c>
      <c r="N34" s="107">
        <f t="shared" si="14"/>
        <v>357.25011519999993</v>
      </c>
      <c r="P34" s="72"/>
      <c r="Q34" s="72"/>
      <c r="R34" s="72"/>
      <c r="S34" s="72"/>
      <c r="U34" s="73"/>
      <c r="V34" s="73"/>
      <c r="W34" s="74"/>
    </row>
    <row r="35" spans="2:23" x14ac:dyDescent="0.3">
      <c r="B35" s="30" t="s">
        <v>262</v>
      </c>
      <c r="C35" s="30" t="str">
        <f t="shared" si="13"/>
        <v/>
      </c>
      <c r="G35" s="1">
        <v>-248000</v>
      </c>
      <c r="H35" s="1"/>
      <c r="I35" s="68">
        <v>-99232.629957514</v>
      </c>
      <c r="J35" s="69">
        <v>148.156337712999</v>
      </c>
      <c r="K35" s="69">
        <v>148.77461166097399</v>
      </c>
      <c r="L35" s="69">
        <v>183.928765122616</v>
      </c>
      <c r="M35" s="69">
        <v>216.40646078348601</v>
      </c>
      <c r="N35" s="69">
        <v>243.99053505521599</v>
      </c>
      <c r="P35" s="70">
        <f>+$G35+$V35*($P$6-$J$8)+($U35/2)*($P$6^2-$J$8^2)</f>
        <v>-188775.20922552215</v>
      </c>
      <c r="Q35" s="70">
        <f>$I35*($P$6/$J$8)-$P$6*($G35*(1/$J$8-1/$P$6)+$V35*(LN($P$6/$J$8)-(1-$J$8/$P$6))+($U35/2)*(($P$6-$J$8)-($J$8)*(1-$J$8/$P$6)))</f>
        <v>29777.76372235734</v>
      </c>
      <c r="R35" s="70">
        <v>29668.274990999402</v>
      </c>
      <c r="S35" s="70"/>
      <c r="U35" s="41" cm="1">
        <f t="array" ref="U35:V35">+LINEST(J35:N35,$J$8:$N$8,,FALSE)</f>
        <v>0.32134036399723953</v>
      </c>
      <c r="V35" s="41">
        <v>53.407285122896582</v>
      </c>
      <c r="W35" s="47">
        <f>+PEARSON(J35:N35,$J$8:$N$8)^2</f>
        <v>0.99767233397575517</v>
      </c>
    </row>
    <row r="36" spans="2:23" x14ac:dyDescent="0.3">
      <c r="B36" s="71"/>
      <c r="C36" s="71"/>
      <c r="D36" s="71"/>
      <c r="E36" s="71"/>
      <c r="F36" s="71"/>
      <c r="G36" s="106">
        <v>-248150</v>
      </c>
      <c r="H36" s="17"/>
      <c r="I36" s="100">
        <v>-110120</v>
      </c>
      <c r="J36" s="107">
        <f>71.773+0.20294*J8+0.00034761*J8^2-0.00000041609*J8^3+0.00000000012259*J8^4</f>
        <v>153.1206426762401</v>
      </c>
      <c r="K36" s="107">
        <f t="shared" ref="K36:N36" si="15">71.773+0.20294*K8+0.00034761*K8^2-0.00000041609*K8^3+0.00000000012259*K8^4</f>
        <v>153.69844899999998</v>
      </c>
      <c r="L36" s="107">
        <f t="shared" si="15"/>
        <v>185.07514399999999</v>
      </c>
      <c r="M36" s="107">
        <f t="shared" si="15"/>
        <v>215.79612499999996</v>
      </c>
      <c r="N36" s="107">
        <f t="shared" si="15"/>
        <v>244.68882400000001</v>
      </c>
      <c r="P36" s="72"/>
      <c r="Q36" s="72"/>
      <c r="R36" s="72"/>
      <c r="S36" s="72"/>
      <c r="U36" s="73"/>
      <c r="V36" s="73"/>
      <c r="W36" s="74"/>
    </row>
    <row r="37" spans="2:23" x14ac:dyDescent="0.3">
      <c r="B37" s="30" t="s">
        <v>263</v>
      </c>
      <c r="C37" s="30" t="str">
        <f t="shared" si="13"/>
        <v>C8H16O1</v>
      </c>
      <c r="D37" s="30">
        <v>8</v>
      </c>
      <c r="E37" s="30">
        <v>16</v>
      </c>
      <c r="F37" s="30">
        <v>1</v>
      </c>
      <c r="G37" s="1">
        <v>-290200</v>
      </c>
      <c r="H37" s="1"/>
      <c r="I37" s="68">
        <v>-80032.629957514</v>
      </c>
      <c r="J37" s="69">
        <v>192.772748832264</v>
      </c>
      <c r="K37" s="69">
        <v>193.55752860899401</v>
      </c>
      <c r="L37" s="69">
        <v>241.20686189864199</v>
      </c>
      <c r="M37" s="69">
        <v>287.88918012928599</v>
      </c>
      <c r="N37" s="69">
        <v>326.984247077764</v>
      </c>
      <c r="P37" s="70">
        <f>+$G37+$V37*($P$6-$J$8)+($U37/2)*($P$6^2-$J$8^2)</f>
        <v>-211804.34616985498</v>
      </c>
      <c r="Q37" s="70">
        <f>$I37*($P$6/$J$8)-$P$6*($G37*(1/$J$8-1/$P$6)+$V37*(LN($P$6/$J$8)-(1-$J$8/$P$6))+($U37/2)*(($P$6-$J$8)-($J$8)*(1-$J$8/$P$6)))</f>
        <v>104242.57569650322</v>
      </c>
      <c r="R37" s="70">
        <v>104166.169209574</v>
      </c>
      <c r="S37" s="70"/>
      <c r="U37" s="41" cm="1">
        <f t="array" ref="U37:V37">+LINEST(J37:N37,$J$8:$N$8,,FALSE)</f>
        <v>0.45009582016456762</v>
      </c>
      <c r="V37" s="41">
        <v>59.608404293732463</v>
      </c>
      <c r="W37" s="47">
        <f>+PEARSON(J37:N37,$J$8:$N$8)^2</f>
        <v>0.99839389236110387</v>
      </c>
    </row>
    <row r="38" spans="2:23" x14ac:dyDescent="0.3">
      <c r="B38" s="71"/>
      <c r="C38" s="71"/>
      <c r="D38" s="71"/>
      <c r="E38" s="71"/>
      <c r="F38" s="71"/>
      <c r="G38" s="87">
        <v>-291900</v>
      </c>
      <c r="H38" s="88"/>
      <c r="I38" s="100">
        <v>-83300</v>
      </c>
      <c r="J38" s="107">
        <f>85.407+0.3088*J8+0.00040878*J8^2-5.4231E-87*J8^3+0.00000000016932*J8^4</f>
        <v>215.15154675780641</v>
      </c>
      <c r="K38" s="107">
        <f t="shared" ref="K38:N38" si="16">85.407+0.3088*K8+0.00040878*K8^2-5.4231E-87*K8^3+0.00000000016932*K8^4</f>
        <v>216.20869199999999</v>
      </c>
      <c r="L38" s="107">
        <f t="shared" si="16"/>
        <v>278.66639200000003</v>
      </c>
      <c r="M38" s="107">
        <f t="shared" si="16"/>
        <v>352.58449999999999</v>
      </c>
      <c r="N38" s="107">
        <f t="shared" si="16"/>
        <v>439.79167200000001</v>
      </c>
      <c r="P38" s="72"/>
      <c r="Q38" s="72"/>
      <c r="R38" s="72"/>
      <c r="S38" s="72"/>
      <c r="U38" s="73"/>
      <c r="V38" s="73"/>
      <c r="W38" s="74"/>
    </row>
    <row r="39" spans="2:23" x14ac:dyDescent="0.3">
      <c r="B39" s="77" t="s">
        <v>264</v>
      </c>
      <c r="C39" s="77" t="str">
        <f t="shared" ref="C39:C40" si="17">IF(D39="","","C")&amp;D39&amp;IF(E39="","","H")&amp;E39&amp;IF(F39="","","O")&amp;F39</f>
        <v/>
      </c>
      <c r="D39" s="77"/>
      <c r="E39" s="77"/>
      <c r="F39" s="77"/>
      <c r="G39" s="78">
        <v>-253186</v>
      </c>
      <c r="H39" s="78"/>
      <c r="I39" s="79">
        <v>-101211.629957514</v>
      </c>
      <c r="J39" s="80">
        <v>147.04035038913801</v>
      </c>
      <c r="K39" s="80">
        <v>147.80173978124299</v>
      </c>
      <c r="L39" s="80">
        <v>185.86427022939</v>
      </c>
      <c r="M39" s="80">
        <v>219.34910614986501</v>
      </c>
      <c r="N39" s="80">
        <v>248.93202468658501</v>
      </c>
      <c r="P39" s="72">
        <f>+$G39+$V39*($P$6-$J$8)+($U39/2)*($P$6^2-$J$8^2)</f>
        <v>-193329.63956275972</v>
      </c>
      <c r="Q39" s="72">
        <f>$I39*($P$6/$J$8)-$P$6*($G39*(1/$J$8-1/$P$6)+$V39*(LN($P$6/$J$8)-(1-$J$8/$P$6))+($U39/2)*(($P$6-$J$8)-($J$8)*(1-$J$8/$P$6)))</f>
        <v>30921.455477439915</v>
      </c>
      <c r="R39" s="72">
        <v>30746.481960815199</v>
      </c>
      <c r="S39" s="91">
        <v>28713</v>
      </c>
      <c r="U39" s="73" cm="1">
        <f t="array" ref="U39:V39">+LINEST(J39:N39,$J$8:$N$8,,FALSE)</f>
        <v>0.34094331031638753</v>
      </c>
      <c r="V39" s="73">
        <v>46.727456939178495</v>
      </c>
      <c r="W39" s="74">
        <f>+PEARSON(J39:N39,$J$8:$N$8)^2</f>
        <v>0.99735901441700658</v>
      </c>
    </row>
    <row r="40" spans="2:23" x14ac:dyDescent="0.3">
      <c r="B40" s="30" t="s">
        <v>265</v>
      </c>
      <c r="C40" s="30" t="str">
        <f t="shared" si="17"/>
        <v/>
      </c>
      <c r="G40" s="1">
        <v>-299600</v>
      </c>
      <c r="H40" s="1"/>
      <c r="I40" s="68">
        <v>-104662.629957514</v>
      </c>
      <c r="J40" s="69">
        <v>183.22797941348099</v>
      </c>
      <c r="K40" s="69">
        <v>184.114715699773</v>
      </c>
      <c r="L40" s="69">
        <v>234.818652372152</v>
      </c>
      <c r="M40" s="69">
        <v>281.00449759293099</v>
      </c>
      <c r="N40" s="69">
        <v>319.14944985712901</v>
      </c>
      <c r="P40" s="70">
        <f>+$G40+$V40*($P$6-$J$8)+($U40/2)*($P$6^2-$J$8^2)</f>
        <v>-223554.05411637371</v>
      </c>
      <c r="Q40" s="70">
        <f>$I40*($P$6/$J$8)-$P$6*($G40*(1/$J$8-1/$P$6)+$V40*(LN($P$6/$J$8)-(1-$J$8/$P$6))+($U40/2)*(($P$6-$J$8)-($J$8)*(1-$J$8/$P$6)))</f>
        <v>65247.295411750732</v>
      </c>
      <c r="R40" s="70">
        <v>65064.271530109603</v>
      </c>
      <c r="S40" s="92">
        <v>96077</v>
      </c>
      <c r="U40" s="41" cm="1">
        <f t="array" ref="U40:V40">+LINEST(J40:N40,$J$8:$N$8,,FALSE)</f>
        <v>0.45664191064730314</v>
      </c>
      <c r="V40" s="41">
        <v>48.8424140221654</v>
      </c>
      <c r="W40" s="47">
        <f>+PEARSON(J40:N40,$J$8:$N$8)^2</f>
        <v>0.99683151224532662</v>
      </c>
    </row>
    <row r="41" spans="2:23" x14ac:dyDescent="0.3">
      <c r="B41" s="71"/>
      <c r="C41" s="71"/>
      <c r="D41" s="71"/>
      <c r="E41" s="71"/>
      <c r="F41" s="71"/>
      <c r="G41" s="88">
        <v>-299600</v>
      </c>
      <c r="H41" s="17"/>
      <c r="I41" s="100">
        <v>-91490</v>
      </c>
      <c r="J41" s="107">
        <f>-30.667+0.89033*J8-0.0006562*J8^2+0.00000026358*J8^3-0.000000000044888*J8^4</f>
        <v>183.08413087207907</v>
      </c>
      <c r="K41" s="107">
        <f t="shared" ref="K41:N41" si="18">-30.667+0.89033*K8-0.0006562*K8^2+0.00000026358*K8^3-0.000000000044888*K8^4</f>
        <v>184.1270672</v>
      </c>
      <c r="L41" s="107">
        <f t="shared" si="18"/>
        <v>236.19298720000003</v>
      </c>
      <c r="M41" s="107">
        <f t="shared" si="18"/>
        <v>280.58999999999992</v>
      </c>
      <c r="N41" s="107">
        <f t="shared" si="18"/>
        <v>318.41479519999996</v>
      </c>
      <c r="P41" s="72"/>
      <c r="Q41" s="72"/>
      <c r="R41" s="72"/>
      <c r="S41" s="72"/>
      <c r="U41" s="73"/>
      <c r="V41" s="73"/>
      <c r="W41" s="74"/>
    </row>
    <row r="42" spans="2:23" x14ac:dyDescent="0.3">
      <c r="B42" s="77" t="s">
        <v>266</v>
      </c>
      <c r="C42" s="77" t="str">
        <f t="shared" ref="C42:C43" si="19">IF(D42="","","C")&amp;D42&amp;IF(E42="","","H")&amp;E42&amp;IF(F42="","","O")&amp;F42</f>
        <v/>
      </c>
      <c r="D42" s="77"/>
      <c r="E42" s="77"/>
      <c r="F42" s="77"/>
      <c r="G42" s="78">
        <v>-567300</v>
      </c>
      <c r="H42" s="78"/>
      <c r="I42" s="79">
        <v>-32.629957514050503</v>
      </c>
      <c r="J42" s="80">
        <v>246.99049817453201</v>
      </c>
      <c r="K42" s="80">
        <v>248.25928922035601</v>
      </c>
      <c r="L42" s="80">
        <v>312.37059432885098</v>
      </c>
      <c r="M42" s="80">
        <v>369.58078040364802</v>
      </c>
      <c r="N42" s="80">
        <v>419.89535665920698</v>
      </c>
      <c r="P42" s="72">
        <f>+$G42+$V42*($P$6-$J$8)+($U42/2)*($P$6^2-$J$8^2)</f>
        <v>-466523.58840304846</v>
      </c>
      <c r="Q42" s="72">
        <f>$I42*($P$6/$J$8)-$P$6*($G42*(1/$J$8-1/$P$6)+$V42*(LN($P$6/$J$8)-(1-$J$8/$P$6))+($U42/2)*(($P$6-$J$8)-($J$8)*(1-$J$8/$P$6)))</f>
        <v>535794.40970741445</v>
      </c>
      <c r="R42" s="72">
        <v>535520.59044521605</v>
      </c>
      <c r="S42" s="91">
        <v>-20787</v>
      </c>
      <c r="U42" s="73" cm="1">
        <f t="array" ref="U42:V42">+LINEST(J42:N42,$J$8:$N$8,,FALSE)</f>
        <v>0.5786138931458451</v>
      </c>
      <c r="V42" s="73">
        <v>76.615555776527827</v>
      </c>
      <c r="W42" s="74">
        <f>+PEARSON(J42:N42,$J$8:$N$8)^2</f>
        <v>0.99758760608291164</v>
      </c>
    </row>
    <row r="43" spans="2:23" x14ac:dyDescent="0.3">
      <c r="B43" s="30" t="s">
        <v>267</v>
      </c>
      <c r="C43" s="30" t="str">
        <f t="shared" si="19"/>
        <v/>
      </c>
      <c r="G43" s="1">
        <v>-526140</v>
      </c>
      <c r="H43" s="1"/>
      <c r="I43" s="68">
        <v>-32.629957514050503</v>
      </c>
      <c r="J43" s="69">
        <v>200.514802863939</v>
      </c>
      <c r="K43" s="69">
        <v>201.54661615369801</v>
      </c>
      <c r="L43" s="69">
        <v>253.476963816737</v>
      </c>
      <c r="M43" s="69">
        <v>299.59973621556497</v>
      </c>
      <c r="N43" s="69">
        <v>340.22014331054601</v>
      </c>
      <c r="P43" s="70">
        <f>+$G43+$V43*($P$6-$J$8)+($U43/2)*($P$6^2-$J$8^2)</f>
        <v>-444418.55234653351</v>
      </c>
      <c r="Q43" s="70">
        <f>$I43*($P$6/$J$8)-$P$6*($G43*(1/$J$8-1/$P$6)+$V43*(LN($P$6/$J$8)-(1-$J$8/$P$6))+($U43/2)*(($P$6-$J$8)-($J$8)*(1-$J$8/$P$6)))</f>
        <v>500977.07344425755</v>
      </c>
      <c r="R43" s="70">
        <v>500749.44146189501</v>
      </c>
      <c r="S43" s="92">
        <v>-88153</v>
      </c>
      <c r="U43" s="41" cm="1">
        <f t="array" ref="U43:V43">+LINEST(J43:N43,$J$8:$N$8,,FALSE)</f>
        <v>0.46750256099081577</v>
      </c>
      <c r="V43" s="41">
        <v>62.893552803521004</v>
      </c>
      <c r="W43" s="47">
        <f>+PEARSON(J43:N43,$J$8:$N$8)^2</f>
        <v>0.99751203628269791</v>
      </c>
    </row>
    <row r="44" spans="2:23" x14ac:dyDescent="0.3">
      <c r="B44" s="71"/>
      <c r="C44" s="71"/>
      <c r="D44" s="71"/>
      <c r="E44" s="71"/>
      <c r="F44" s="71"/>
      <c r="G44" s="87">
        <v>-528000</v>
      </c>
      <c r="H44" s="17"/>
      <c r="I44" s="76"/>
      <c r="J44" s="75"/>
      <c r="K44" s="75"/>
      <c r="L44" s="75"/>
      <c r="M44" s="75"/>
      <c r="N44" s="75"/>
      <c r="P44" s="72"/>
      <c r="Q44" s="72"/>
      <c r="R44" s="72"/>
      <c r="S44" s="72"/>
      <c r="U44" s="73"/>
      <c r="V44" s="73"/>
      <c r="W44" s="74"/>
    </row>
    <row r="45" spans="2:23" x14ac:dyDescent="0.3">
      <c r="B45" s="102" t="s">
        <v>268</v>
      </c>
      <c r="C45" s="102" t="str">
        <f t="shared" ref="C45:C50" si="20">IF(D45="","","C")&amp;D45&amp;IF(E45="","","H")&amp;E45&amp;IF(F45="","","O")&amp;F45</f>
        <v/>
      </c>
      <c r="D45" s="102"/>
      <c r="E45" s="102"/>
      <c r="F45" s="102"/>
      <c r="G45" s="103">
        <v>-526300</v>
      </c>
      <c r="H45" s="103"/>
      <c r="I45" s="104">
        <v>-295332.629957514</v>
      </c>
      <c r="J45" s="105">
        <v>198.265148117541</v>
      </c>
      <c r="K45" s="105">
        <v>199.27111854626901</v>
      </c>
      <c r="L45" s="105">
        <v>254.33087421170504</v>
      </c>
      <c r="M45" s="105">
        <v>301.53904835440898</v>
      </c>
      <c r="N45" s="105">
        <v>339.42065736529503</v>
      </c>
      <c r="P45" s="70">
        <f>+$G45+$V45*($P$6-$J$8)+($U45/2)*($P$6^2-$J$8^2)</f>
        <v>-444662.88569535548</v>
      </c>
      <c r="Q45" s="70">
        <f>$I45*($P$6/$J$8)-$P$6*($G45*(1/$J$8-1/$P$6)+$V45*(LN($P$6/$J$8)-(1-$J$8/$P$6))+($U45/2)*(($P$6-$J$8)-($J$8)*(1-$J$8/$P$6)))</f>
        <v>-91204.736949362268</v>
      </c>
      <c r="R45" s="70">
        <v>-91496.061047414099</v>
      </c>
      <c r="S45" s="70"/>
      <c r="U45" s="41" cm="1">
        <f t="array" ref="U45:V45">+LINEST(J45:N45,$J$8:$N$8,,FALSE)</f>
        <v>0.47539779206771404</v>
      </c>
      <c r="V45" s="41">
        <v>59.074193833668943</v>
      </c>
      <c r="W45" s="47">
        <f>+PEARSON(J45:N45,$J$8:$N$8)^2</f>
        <v>0.99453534264365662</v>
      </c>
    </row>
    <row r="46" spans="2:23" x14ac:dyDescent="0.3">
      <c r="B46" s="71"/>
      <c r="C46" s="71"/>
      <c r="D46" s="71"/>
      <c r="E46" s="71"/>
      <c r="F46" s="71"/>
      <c r="G46" s="106">
        <v>-526300</v>
      </c>
      <c r="H46" s="17"/>
      <c r="I46" s="100">
        <v>-295300</v>
      </c>
      <c r="J46" s="107">
        <f>-46.949+1.0667*J8-0.00095577*J8^2+0.00000047655*J8^3-0.000000000098701*J8^4</f>
        <v>197.97627742229255</v>
      </c>
      <c r="K46" s="107">
        <f t="shared" ref="K46:N46" si="21">-46.949+1.0667*K8-0.00095577*K8^2+0.00000047655*K8^3-0.000000000098701*K8^4</f>
        <v>199.1090719</v>
      </c>
      <c r="L46" s="107">
        <f t="shared" si="21"/>
        <v>254.78025440000002</v>
      </c>
      <c r="M46" s="107">
        <f t="shared" si="21"/>
        <v>300.85843750000004</v>
      </c>
      <c r="N46" s="107">
        <f t="shared" si="21"/>
        <v>339.13695040000005</v>
      </c>
      <c r="P46" s="72"/>
      <c r="Q46" s="72"/>
      <c r="R46" s="72"/>
      <c r="S46" s="72"/>
      <c r="U46" s="73"/>
      <c r="V46" s="73"/>
      <c r="W46" s="74"/>
    </row>
    <row r="47" spans="2:23" x14ac:dyDescent="0.3">
      <c r="B47" s="71" t="s">
        <v>48</v>
      </c>
      <c r="C47" s="71" t="str">
        <f t="shared" si="20"/>
        <v/>
      </c>
      <c r="D47" s="71"/>
      <c r="E47" s="71"/>
      <c r="F47" s="71"/>
      <c r="G47" s="17">
        <v>-608460</v>
      </c>
      <c r="H47" s="17"/>
      <c r="I47" s="76">
        <v>-32.629957514050503</v>
      </c>
      <c r="J47" s="75">
        <v>293.46339506452102</v>
      </c>
      <c r="K47" s="75">
        <v>294.97043637740597</v>
      </c>
      <c r="L47" s="75">
        <v>371.273804701769</v>
      </c>
      <c r="M47" s="75">
        <v>439.54759740691298</v>
      </c>
      <c r="N47" s="75">
        <v>499.56700547143998</v>
      </c>
      <c r="P47" s="72">
        <f>+$G47+$V47*($P$6-$J$8)+($U47/2)*($P$6^2-$J$8^2)</f>
        <v>-488629.55812562973</v>
      </c>
      <c r="Q47" s="72">
        <f>$I47*($P$6/$J$8)-$P$6*($G47*(1/$J$8-1/$P$6)+$V47*(LN($P$6/$J$8)-(1-$J$8/$P$6))+($U47/2)*(($P$6-$J$8)-($J$8)*(1-$J$8/$P$6)))</f>
        <v>570611.95587593922</v>
      </c>
      <c r="R47" s="72">
        <v>570291.06084198097</v>
      </c>
      <c r="S47" s="91">
        <v>46574</v>
      </c>
      <c r="U47" s="73" cm="1">
        <f t="array" ref="U47:V47">+LINEST(J47:N47,$J$8:$N$8,,FALSE)</f>
        <v>0.68970401274512749</v>
      </c>
      <c r="V47" s="73">
        <v>90.343952936171945</v>
      </c>
      <c r="W47" s="74">
        <f>+PEARSON(J47:N47,$J$8:$N$8)^2</f>
        <v>0.99763686455844869</v>
      </c>
    </row>
    <row r="48" spans="2:23" x14ac:dyDescent="0.3">
      <c r="B48" s="102" t="s">
        <v>269</v>
      </c>
      <c r="C48" s="102" t="str">
        <f t="shared" si="20"/>
        <v/>
      </c>
      <c r="D48" s="102"/>
      <c r="E48" s="102"/>
      <c r="F48" s="102"/>
      <c r="G48" s="103">
        <v>-331700</v>
      </c>
      <c r="H48" s="103"/>
      <c r="I48" s="104">
        <v>-63522.629957514102</v>
      </c>
      <c r="J48" s="105">
        <v>237.63307909540401</v>
      </c>
      <c r="K48" s="105">
        <v>238.652504489048</v>
      </c>
      <c r="L48" s="105">
        <v>299.72901041771399</v>
      </c>
      <c r="M48" s="105">
        <v>357.963937054582</v>
      </c>
      <c r="N48" s="105">
        <v>405.93362895374702</v>
      </c>
      <c r="P48" s="70">
        <f>+$G48+$V48*($P$6-$J$8)+($U48/2)*($P$6^2-$J$8^2)</f>
        <v>-234469.3732081686</v>
      </c>
      <c r="Q48" s="70">
        <f>$I48*($P$6/$J$8)-$P$6*($G48*(1/$J$8-1/$P$6)+$V48*(LN($P$6/$J$8)-(1-$J$8/$P$6))+($U48/2)*(($P$6-$J$8)-($J$8)*(1-$J$8/$P$6)))</f>
        <v>172638.61605606583</v>
      </c>
      <c r="R48" s="70">
        <v>172491.43334209599</v>
      </c>
      <c r="S48" s="92">
        <v>153838</v>
      </c>
      <c r="U48" s="41" cm="1">
        <f t="array" ref="U48:V48">+LINEST(J48:N48,$J$8:$N$8,,FALSE)</f>
        <v>0.56520537531576576</v>
      </c>
      <c r="V48" s="41">
        <v>70.805300358344226</v>
      </c>
      <c r="W48" s="47">
        <f>+PEARSON(J48:N48,$J$8:$N$8)^2</f>
        <v>0.99769215678814882</v>
      </c>
    </row>
    <row r="49" spans="2:31" x14ac:dyDescent="0.3">
      <c r="B49" s="71"/>
      <c r="C49" s="71"/>
      <c r="D49" s="71"/>
      <c r="E49" s="71"/>
      <c r="F49" s="71"/>
      <c r="G49" s="106">
        <v>-330910</v>
      </c>
      <c r="H49" s="17"/>
      <c r="I49" s="100">
        <v>-66530</v>
      </c>
      <c r="J49" s="107">
        <f>210.932-0.1837*J8+0.001562*J8^2-0.0000014857*J8^3+0.00000000042973*J8^4</f>
        <v>259.03275506593639</v>
      </c>
      <c r="K49" s="107">
        <f t="shared" ref="K49:N49" si="22">210.932-0.1837*K8+0.001562*K8^2-0.0000014857*K8^3+0.00000000042973*K8^4</f>
        <v>259.76891300000005</v>
      </c>
      <c r="L49" s="107">
        <f t="shared" si="22"/>
        <v>303.28828799999997</v>
      </c>
      <c r="M49" s="107">
        <f t="shared" si="22"/>
        <v>350.72762499999999</v>
      </c>
      <c r="N49" s="107">
        <f t="shared" si="22"/>
        <v>397.81380800000005</v>
      </c>
      <c r="P49" s="72"/>
      <c r="Q49" s="72"/>
      <c r="R49" s="72"/>
      <c r="S49" s="91"/>
      <c r="U49" s="73"/>
      <c r="V49" s="73"/>
      <c r="W49" s="74"/>
    </row>
    <row r="50" spans="2:31" x14ac:dyDescent="0.3">
      <c r="B50" s="30" t="s">
        <v>174</v>
      </c>
      <c r="C50" s="30" t="str">
        <f t="shared" si="20"/>
        <v/>
      </c>
      <c r="G50" s="1">
        <v>0</v>
      </c>
      <c r="H50" s="1"/>
      <c r="I50" s="68">
        <v>-32.629957514050503</v>
      </c>
      <c r="J50" s="69">
        <v>28.775469590382801</v>
      </c>
      <c r="K50" s="69">
        <v>28.7872157802008</v>
      </c>
      <c r="L50" s="69">
        <v>29.205644795576799</v>
      </c>
      <c r="M50" s="69">
        <v>29.309781833808898</v>
      </c>
      <c r="N50" s="69">
        <v>29.3233792598596</v>
      </c>
      <c r="P50" s="70">
        <f>+$G50+$V50*($P$6-$J$8)+($U50/2)*($P$6^2-$J$8^2)</f>
        <v>8740.5797303916224</v>
      </c>
      <c r="Q50" s="41">
        <f>$I50*($P$6/$J$8)-$P$6*($G50*(1/$J$8-1/$P$6)+$V50*(LN($P$6/$J$8)-(1-$J$8/$P$6))+($U50/2)*(($P$6-$J$8)-($J$8)*(1-$J$8/$P$6)))</f>
        <v>-3444.6624974574379</v>
      </c>
      <c r="R50" s="41">
        <v>-3454.63719338173</v>
      </c>
      <c r="S50" s="41"/>
      <c r="U50" s="41" cm="1">
        <f t="array" ref="U50:V50">+LINEST(J50:N50,$J$8:$N$8,,FALSE)</f>
        <v>1.9273322582852696E-3</v>
      </c>
      <c r="V50" s="41">
        <v>28.271531816421533</v>
      </c>
      <c r="W50" s="47">
        <f>+PEARSON(J50:N50,$J$8:$N$8)^2</f>
        <v>0.83013038890804769</v>
      </c>
    </row>
    <row r="51" spans="2:31" x14ac:dyDescent="0.3">
      <c r="B51" s="71"/>
      <c r="C51" s="71"/>
      <c r="D51" s="71"/>
      <c r="E51" s="71"/>
      <c r="F51" s="71"/>
      <c r="G51" s="93">
        <v>0</v>
      </c>
      <c r="H51" s="94">
        <v>130.68</v>
      </c>
      <c r="I51" s="93">
        <v>0</v>
      </c>
      <c r="J51" s="95">
        <v>28.835999999999999</v>
      </c>
      <c r="K51" s="95">
        <v>28.849</v>
      </c>
      <c r="L51" s="95">
        <v>29.181000000000001</v>
      </c>
      <c r="M51" s="95">
        <v>29.26</v>
      </c>
      <c r="N51" s="95">
        <v>29.327000000000002</v>
      </c>
      <c r="P51" s="81"/>
      <c r="Q51" s="81"/>
      <c r="R51" s="81"/>
      <c r="S51" s="81"/>
      <c r="U51" s="81"/>
      <c r="V51" s="81"/>
      <c r="W51" s="81"/>
    </row>
    <row r="52" spans="2:31" x14ac:dyDescent="0.3">
      <c r="B52" s="77" t="s">
        <v>270</v>
      </c>
      <c r="C52" s="20"/>
      <c r="D52" s="20"/>
      <c r="E52" s="20"/>
      <c r="F52" s="20"/>
      <c r="G52" s="37"/>
      <c r="H52" s="96">
        <v>5.74</v>
      </c>
      <c r="I52" s="37"/>
      <c r="J52" s="82"/>
      <c r="K52" s="82"/>
      <c r="L52" s="82"/>
      <c r="M52" s="82"/>
      <c r="N52" s="82"/>
      <c r="AE52" s="46"/>
    </row>
    <row r="53" spans="2:31" ht="15.6" x14ac:dyDescent="0.3">
      <c r="B53" s="77" t="s">
        <v>271</v>
      </c>
      <c r="C53" s="20"/>
      <c r="D53" s="20"/>
      <c r="E53" s="20"/>
      <c r="F53" s="20"/>
      <c r="G53" s="37"/>
      <c r="H53" s="96">
        <v>205.14699999999999</v>
      </c>
      <c r="I53" s="37"/>
      <c r="J53" s="82"/>
      <c r="K53" s="82"/>
      <c r="L53" s="82"/>
      <c r="M53" s="82"/>
      <c r="N53" s="82"/>
      <c r="AE53" s="46"/>
    </row>
  </sheetData>
  <mergeCells count="4">
    <mergeCell ref="P6:R6"/>
    <mergeCell ref="J7:N7"/>
    <mergeCell ref="P7:Q7"/>
    <mergeCell ref="U7:W7"/>
  </mergeCells>
  <hyperlinks>
    <hyperlink ref="I2" r:id="rId1" xr:uid="{E190E3E6-AC61-4642-8527-12222A935EF0}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Raw data Cofeed Experiments</vt:lpstr>
      <vt:lpstr>Raw data Control Experiments</vt:lpstr>
      <vt:lpstr>Control Model</vt:lpstr>
      <vt:lpstr>Cofeed Model</vt:lpstr>
      <vt:lpstr>Matrix of Reactions</vt:lpstr>
      <vt:lpstr>Thermochemistry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jechavarriocanas</dc:creator>
  <cp:lastModifiedBy>javier eduardo  chavarrio cañas</cp:lastModifiedBy>
  <dcterms:created xsi:type="dcterms:W3CDTF">2024-01-03T15:44:52Z</dcterms:created>
  <dcterms:modified xsi:type="dcterms:W3CDTF">2025-02-03T23:18:18Z</dcterms:modified>
</cp:coreProperties>
</file>