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Sheet1!$A$1:$A$173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<sst xmlns="http://schemas.openxmlformats.org/spreadsheetml/2006/main" count="350" uniqueCount="224">
  <si>
    <t>Structures</t>
  </si>
  <si>
    <t>Space group</t>
  </si>
  <si>
    <r>
      <rPr>
        <sz val="11"/>
        <color theme="1"/>
        <rFont val="Times New Roman"/>
        <charset val="134"/>
      </rPr>
      <t>CsPbI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</si>
  <si>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PbCsI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</si>
  <si>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RbPbI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</si>
  <si>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PbRbI</t>
    </r>
    <r>
      <rPr>
        <vertAlign val="subscript"/>
        <sz val="11"/>
        <color theme="1"/>
        <rFont val="Times New Roman"/>
        <charset val="134"/>
      </rPr>
      <t>3</t>
    </r>
  </si>
  <si>
    <r>
      <t>AgIO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-29</t>
    </r>
  </si>
  <si>
    <r>
      <rPr>
        <sz val="11"/>
        <color theme="1"/>
        <rFont val="Times New Roman"/>
        <charset val="134"/>
      </rPr>
      <t>Pca2</t>
    </r>
    <r>
      <rPr>
        <vertAlign val="subscript"/>
        <sz val="11"/>
        <color theme="1"/>
        <rFont val="Times New Roman"/>
        <charset val="134"/>
      </rPr>
      <t>1</t>
    </r>
  </si>
  <si>
    <r>
      <t>AgNO</t>
    </r>
    <r>
      <rPr>
        <vertAlign val="subscript"/>
        <sz val="11"/>
        <color theme="1"/>
        <rFont val="Times New Roman"/>
        <charset val="134"/>
      </rPr>
      <t>3</t>
    </r>
  </si>
  <si>
    <t>R3c</t>
  </si>
  <si>
    <r>
      <t>AgNO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-161</t>
    </r>
  </si>
  <si>
    <r>
      <t>AlHoO</t>
    </r>
    <r>
      <rPr>
        <vertAlign val="subscript"/>
        <sz val="11"/>
        <color theme="1"/>
        <rFont val="Times New Roman"/>
        <charset val="134"/>
      </rPr>
      <t>3</t>
    </r>
  </si>
  <si>
    <t>Pbnm</t>
  </si>
  <si>
    <r>
      <t>AlInS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</si>
  <si>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P6</t>
    </r>
    <r>
      <rPr>
        <vertAlign val="subscript"/>
        <sz val="11"/>
        <color theme="1"/>
        <rFont val="Times New Roman"/>
        <charset val="134"/>
      </rPr>
      <t>1</t>
    </r>
  </si>
  <si>
    <r>
      <t>AlYO</t>
    </r>
    <r>
      <rPr>
        <vertAlign val="subscript"/>
        <sz val="11"/>
        <color theme="1"/>
        <rFont val="Times New Roman"/>
        <charset val="134"/>
      </rPr>
      <t>3</t>
    </r>
  </si>
  <si>
    <r>
      <t>AsLiO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-15</t>
    </r>
  </si>
  <si>
    <t>C2/c</t>
  </si>
  <si>
    <r>
      <t>BaBiSe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</t>
    </r>
  </si>
  <si>
    <r>
      <rPr>
        <sz val="11"/>
        <color theme="1"/>
        <rFont val="Times New Roman"/>
        <charset val="134"/>
      </rPr>
      <t>P2</t>
    </r>
    <r>
      <rPr>
        <vertAlign val="subscript"/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2</t>
    </r>
    <r>
      <rPr>
        <vertAlign val="subscript"/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2</t>
    </r>
    <r>
      <rPr>
        <vertAlign val="subscript"/>
        <sz val="11"/>
        <color theme="1"/>
        <rFont val="Times New Roman"/>
        <charset val="134"/>
      </rPr>
      <t>1</t>
    </r>
  </si>
  <si>
    <r>
      <t>BaCO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</si>
  <si>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t>Pnma</t>
  </si>
  <si>
    <r>
      <t>BaCoO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</si>
  <si>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P6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/mmc</t>
    </r>
  </si>
  <si>
    <r>
      <t>BaGeO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</t>
    </r>
  </si>
  <si>
    <r>
      <t>BaLiD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-221</t>
    </r>
  </si>
  <si>
    <t>Pm-3m</t>
  </si>
  <si>
    <r>
      <t>BaNiO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-186</t>
    </r>
  </si>
  <si>
    <r>
      <rPr>
        <sz val="11"/>
        <color theme="1"/>
        <rFont val="Times New Roman"/>
        <charset val="134"/>
      </rPr>
      <t>P6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mc</t>
    </r>
  </si>
  <si>
    <r>
      <t>BaPbO</t>
    </r>
    <r>
      <rPr>
        <vertAlign val="subscript"/>
        <sz val="11"/>
        <color theme="1"/>
        <rFont val="Times New Roman"/>
        <charset val="134"/>
      </rPr>
      <t>3</t>
    </r>
  </si>
  <si>
    <t>Imma</t>
  </si>
  <si>
    <r>
      <t>BaSbTe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</t>
    </r>
  </si>
  <si>
    <r>
      <t>BaTbO</t>
    </r>
    <r>
      <rPr>
        <vertAlign val="subscript"/>
        <sz val="11"/>
        <color theme="1"/>
        <rFont val="Times New Roman"/>
        <charset val="134"/>
      </rPr>
      <t>3</t>
    </r>
  </si>
  <si>
    <r>
      <t>BaTeO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</si>
  <si>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P2</t>
    </r>
    <r>
      <rPr>
        <vertAlign val="subscript"/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/m</t>
    </r>
  </si>
  <si>
    <r>
      <t>BaTeO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</si>
  <si>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BaTeS</t>
    </r>
    <r>
      <rPr>
        <vertAlign val="subscript"/>
        <sz val="11"/>
        <color theme="1"/>
        <rFont val="Times New Roman"/>
        <charset val="134"/>
      </rPr>
      <t>3</t>
    </r>
  </si>
  <si>
    <r>
      <t>BaTiO</t>
    </r>
    <r>
      <rPr>
        <vertAlign val="subscript"/>
        <sz val="11"/>
        <color theme="1"/>
        <rFont val="Times New Roman"/>
        <charset val="134"/>
      </rPr>
      <t>3</t>
    </r>
  </si>
  <si>
    <t>R3m</t>
  </si>
  <si>
    <r>
      <t>BaVSe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-194</t>
    </r>
  </si>
  <si>
    <r>
      <t>BeCsF</t>
    </r>
    <r>
      <rPr>
        <vertAlign val="subscript"/>
        <sz val="11"/>
        <color theme="1"/>
        <rFont val="Times New Roman"/>
        <charset val="134"/>
      </rPr>
      <t>3</t>
    </r>
  </si>
  <si>
    <r>
      <t>Br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CdRb-62</t>
    </r>
  </si>
  <si>
    <r>
      <t>BrNO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</t>
    </r>
  </si>
  <si>
    <r>
      <t>CaClO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</si>
  <si>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P2</t>
    </r>
    <r>
      <rPr>
        <vertAlign val="subscript"/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/c</t>
    </r>
  </si>
  <si>
    <r>
      <t>CaCO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</si>
  <si>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t>Pnma(2)</t>
  </si>
  <si>
    <r>
      <t>CaIrO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-63</t>
    </r>
  </si>
  <si>
    <t>Cmcm</t>
  </si>
  <si>
    <r>
      <t>CaSnO</t>
    </r>
    <r>
      <rPr>
        <vertAlign val="subscript"/>
        <sz val="11"/>
        <color theme="1"/>
        <rFont val="Times New Roman"/>
        <charset val="134"/>
      </rPr>
      <t>3</t>
    </r>
  </si>
  <si>
    <t>R3</t>
  </si>
  <si>
    <r>
      <t>CaTiO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</si>
  <si>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CdCO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-167</t>
    </r>
  </si>
  <si>
    <t>R-3c</t>
  </si>
  <si>
    <r>
      <t>CdGeO</t>
    </r>
    <r>
      <rPr>
        <vertAlign val="subscript"/>
        <sz val="11"/>
        <color theme="1"/>
        <rFont val="Times New Roman"/>
        <charset val="134"/>
      </rPr>
      <t>3</t>
    </r>
  </si>
  <si>
    <r>
      <t>CdTiO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-148</t>
    </r>
  </si>
  <si>
    <r>
      <t>CdTiO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-33</t>
    </r>
  </si>
  <si>
    <r>
      <t>CeSiP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</si>
  <si>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Pna2</t>
    </r>
    <r>
      <rPr>
        <vertAlign val="subscript"/>
        <sz val="11"/>
        <color theme="1"/>
        <rFont val="Times New Roman"/>
        <charset val="134"/>
      </rPr>
      <t>1</t>
    </r>
  </si>
  <si>
    <r>
      <t>CoSeO</t>
    </r>
    <r>
      <rPr>
        <vertAlign val="subscript"/>
        <sz val="11"/>
        <color theme="1"/>
        <rFont val="Times New Roman"/>
        <charset val="134"/>
      </rPr>
      <t>3</t>
    </r>
  </si>
  <si>
    <r>
      <t>CrRbCl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_1</t>
    </r>
  </si>
  <si>
    <t>C2</t>
  </si>
  <si>
    <r>
      <t>CsBeF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</si>
  <si>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CsCrI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-60</t>
    </r>
  </si>
  <si>
    <t>Pbcn</t>
  </si>
  <si>
    <r>
      <t>CsCuBr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-20</t>
    </r>
  </si>
  <si>
    <r>
      <rPr>
        <sz val="10.5"/>
        <color theme="1"/>
        <rFont val="Times New Roman"/>
        <charset val="134"/>
      </rPr>
      <t>C222</t>
    </r>
    <r>
      <rPr>
        <vertAlign val="subscript"/>
        <sz val="10.5"/>
        <color theme="1"/>
        <rFont val="Times New Roman"/>
        <charset val="134"/>
      </rPr>
      <t>1</t>
    </r>
  </si>
  <si>
    <r>
      <t>CsCuCl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-178</t>
    </r>
  </si>
  <si>
    <r>
      <rPr>
        <sz val="11"/>
        <color theme="1"/>
        <rFont val="Times New Roman"/>
        <charset val="134"/>
      </rPr>
      <t>P6</t>
    </r>
    <r>
      <rPr>
        <vertAlign val="subscript"/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22</t>
    </r>
  </si>
  <si>
    <r>
      <t>CsGeCl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-146</t>
    </r>
  </si>
  <si>
    <r>
      <t>CsNbO</t>
    </r>
    <r>
      <rPr>
        <vertAlign val="subscript"/>
        <sz val="11"/>
        <color theme="1"/>
        <rFont val="Times New Roman"/>
        <charset val="134"/>
      </rPr>
      <t>3</t>
    </r>
  </si>
  <si>
    <r>
      <t>CsSnCl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</t>
    </r>
  </si>
  <si>
    <r>
      <t>CrRbCl</t>
    </r>
    <r>
      <rPr>
        <vertAlign val="subscript"/>
        <sz val="11"/>
        <color theme="1"/>
        <rFont val="Times New Roman"/>
        <charset val="134"/>
      </rPr>
      <t>3</t>
    </r>
  </si>
  <si>
    <t>C2/m</t>
  </si>
  <si>
    <r>
      <t>CsSnI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</si>
  <si>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CsVO</t>
    </r>
    <r>
      <rPr>
        <vertAlign val="subscript"/>
        <sz val="11"/>
        <color theme="1"/>
        <rFont val="Times New Roman"/>
        <charset val="134"/>
      </rPr>
      <t>3</t>
    </r>
  </si>
  <si>
    <t>Pbcm</t>
  </si>
  <si>
    <r>
      <t>CuGeO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-26</t>
    </r>
  </si>
  <si>
    <t>Pmma</t>
  </si>
  <si>
    <r>
      <t>CuKF</t>
    </r>
    <r>
      <rPr>
        <vertAlign val="subscript"/>
        <sz val="11"/>
        <color theme="1"/>
        <rFont val="Times New Roman"/>
        <charset val="134"/>
      </rPr>
      <t>3</t>
    </r>
  </si>
  <si>
    <t>I4/mcm</t>
  </si>
  <si>
    <r>
      <t>CuKF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-127</t>
    </r>
  </si>
  <si>
    <r>
      <t>CuKF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</t>
    </r>
  </si>
  <si>
    <r>
      <t>CuSeO</t>
    </r>
    <r>
      <rPr>
        <vertAlign val="subscript"/>
        <sz val="11"/>
        <color theme="1"/>
        <rFont val="Times New Roman"/>
        <charset val="134"/>
      </rPr>
      <t>3</t>
    </r>
  </si>
  <si>
    <r>
      <t>CuTeO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</si>
  <si>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CuVO</t>
    </r>
    <r>
      <rPr>
        <vertAlign val="subscript"/>
        <sz val="11"/>
        <color theme="1"/>
        <rFont val="Times New Roman"/>
        <charset val="134"/>
      </rPr>
      <t>3</t>
    </r>
  </si>
  <si>
    <t>P1</t>
  </si>
  <si>
    <r>
      <t>Eu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Ge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S</t>
    </r>
    <r>
      <rPr>
        <vertAlign val="subscript"/>
        <sz val="11"/>
        <color theme="1"/>
        <rFont val="Times New Roman"/>
        <charset val="134"/>
      </rPr>
      <t>9</t>
    </r>
  </si>
  <si>
    <t>P-1</t>
  </si>
  <si>
    <r>
      <t>Fe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P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S</t>
    </r>
    <r>
      <rPr>
        <vertAlign val="subscript"/>
        <sz val="11"/>
        <color theme="1"/>
        <rFont val="Times New Roman"/>
        <charset val="134"/>
      </rPr>
      <t>6</t>
    </r>
    <r>
      <rPr>
        <sz val="11"/>
        <color theme="1"/>
        <rFont val="Times New Roman"/>
        <charset val="134"/>
      </rPr>
      <t>-12</t>
    </r>
  </si>
  <si>
    <r>
      <t>Fe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P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Se</t>
    </r>
    <r>
      <rPr>
        <vertAlign val="subscript"/>
        <sz val="11"/>
        <color theme="1"/>
        <rFont val="Times New Roman"/>
        <charset val="134"/>
      </rPr>
      <t>6</t>
    </r>
    <r>
      <rPr>
        <sz val="11"/>
        <color theme="1"/>
        <rFont val="Times New Roman"/>
        <charset val="134"/>
      </rPr>
      <t>-146</t>
    </r>
  </si>
  <si>
    <r>
      <t>FeS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U</t>
    </r>
  </si>
  <si>
    <r>
      <t>FeTiO</t>
    </r>
    <r>
      <rPr>
        <vertAlign val="subscript"/>
        <sz val="11"/>
        <color theme="1"/>
        <rFont val="Times New Roman"/>
        <charset val="134"/>
      </rPr>
      <t>3</t>
    </r>
  </si>
  <si>
    <t>R-3</t>
  </si>
  <si>
    <r>
      <t>GaGdO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</si>
  <si>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GaNdO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-33</t>
    </r>
  </si>
  <si>
    <r>
      <t>GaYO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</si>
  <si>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P6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cm</t>
    </r>
  </si>
  <si>
    <r>
      <t>GdFeO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</si>
  <si>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GdTiO</t>
    </r>
    <r>
      <rPr>
        <vertAlign val="subscript"/>
        <sz val="11"/>
        <color theme="1"/>
        <rFont val="Times New Roman"/>
        <charset val="134"/>
      </rPr>
      <t>3</t>
    </r>
  </si>
  <si>
    <r>
      <t>GePbS</t>
    </r>
    <r>
      <rPr>
        <vertAlign val="subscript"/>
        <sz val="11"/>
        <color theme="1"/>
        <rFont val="Times New Roman"/>
        <charset val="134"/>
      </rPr>
      <t>3</t>
    </r>
  </si>
  <si>
    <r>
      <t>GeRbCl</t>
    </r>
    <r>
      <rPr>
        <vertAlign val="subscript"/>
        <sz val="11"/>
        <rFont val="Times New Roman"/>
        <charset val="134"/>
      </rPr>
      <t>3</t>
    </r>
    <r>
      <rPr>
        <sz val="11"/>
        <rFont val="Times New Roman"/>
        <charset val="134"/>
      </rPr>
      <t>-11</t>
    </r>
  </si>
  <si>
    <r>
      <t>Hg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P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S</t>
    </r>
    <r>
      <rPr>
        <vertAlign val="subscript"/>
        <sz val="11"/>
        <color theme="1"/>
        <rFont val="Times New Roman"/>
        <charset val="134"/>
      </rPr>
      <t>6</t>
    </r>
  </si>
  <si>
    <r>
      <t>Hg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P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Se</t>
    </r>
    <r>
      <rPr>
        <vertAlign val="subscript"/>
        <sz val="11"/>
        <color theme="1"/>
        <rFont val="Times New Roman"/>
        <charset val="134"/>
      </rPr>
      <t>6</t>
    </r>
  </si>
  <si>
    <r>
      <t>HgTiO</t>
    </r>
    <r>
      <rPr>
        <vertAlign val="subscript"/>
        <sz val="11"/>
        <color theme="1"/>
        <rFont val="Times New Roman"/>
        <charset val="134"/>
      </rPr>
      <t>3-</t>
    </r>
    <r>
      <rPr>
        <sz val="11"/>
        <color theme="1"/>
        <rFont val="Times New Roman"/>
        <charset val="134"/>
      </rPr>
      <t>161</t>
    </r>
  </si>
  <si>
    <r>
      <t>HoNiO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</si>
  <si>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HoVO</t>
    </r>
    <r>
      <rPr>
        <vertAlign val="subscript"/>
        <sz val="11"/>
        <color theme="1"/>
        <rFont val="Times New Roman"/>
        <charset val="134"/>
      </rPr>
      <t>3</t>
    </r>
  </si>
  <si>
    <r>
      <t>InYO</t>
    </r>
    <r>
      <rPr>
        <vertAlign val="subscript"/>
        <sz val="11"/>
        <color theme="1"/>
        <rFont val="Times New Roman"/>
        <charset val="134"/>
      </rPr>
      <t>3</t>
    </r>
  </si>
  <si>
    <r>
      <t>IrKO</t>
    </r>
    <r>
      <rPr>
        <vertAlign val="subscript"/>
        <sz val="11"/>
        <color theme="1"/>
        <rFont val="Times New Roman"/>
        <charset val="134"/>
      </rPr>
      <t>3</t>
    </r>
  </si>
  <si>
    <t>Pn-3</t>
  </si>
  <si>
    <r>
      <t>KAgF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</si>
  <si>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KClO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</si>
  <si>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t>Pcmn</t>
  </si>
  <si>
    <r>
      <t>KClO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_1</t>
    </r>
  </si>
  <si>
    <r>
      <t>KFeBr</t>
    </r>
    <r>
      <rPr>
        <vertAlign val="subscript"/>
        <sz val="11"/>
        <color theme="1"/>
        <rFont val="Times New Roman"/>
        <charset val="134"/>
      </rPr>
      <t>3</t>
    </r>
  </si>
  <si>
    <r>
      <t>KFeCl</t>
    </r>
    <r>
      <rPr>
        <vertAlign val="subscript"/>
        <sz val="11"/>
        <color theme="1"/>
        <rFont val="Times New Roman"/>
        <charset val="134"/>
      </rPr>
      <t>3</t>
    </r>
  </si>
  <si>
    <r>
      <t>KFeF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-221</t>
    </r>
  </si>
  <si>
    <r>
      <t>KFeF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</si>
  <si>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KMnF</t>
    </r>
    <r>
      <rPr>
        <vertAlign val="subscript"/>
        <sz val="11"/>
        <color theme="1"/>
        <rFont val="Times New Roman"/>
        <charset val="134"/>
      </rPr>
      <t>3</t>
    </r>
  </si>
  <si>
    <t>P4/mbm</t>
  </si>
  <si>
    <r>
      <t>KNbO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-38</t>
    </r>
  </si>
  <si>
    <t>Amm2</t>
  </si>
  <si>
    <r>
      <t>KNiCl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-185</t>
    </r>
  </si>
  <si>
    <r>
      <t>KPbF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</si>
  <si>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KPO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</si>
  <si>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LaBO</t>
    </r>
    <r>
      <rPr>
        <vertAlign val="subscript"/>
        <sz val="11"/>
        <rFont val="Times New Roman"/>
        <charset val="134"/>
      </rPr>
      <t>3</t>
    </r>
    <r>
      <rPr>
        <sz val="11"/>
        <rFont val="Times New Roman"/>
        <charset val="134"/>
      </rPr>
      <t>-11</t>
    </r>
  </si>
  <si>
    <r>
      <t>LaCrO</t>
    </r>
    <r>
      <rPr>
        <vertAlign val="subscript"/>
        <sz val="11"/>
        <color theme="1"/>
        <rFont val="Times New Roman"/>
        <charset val="134"/>
      </rPr>
      <t>3</t>
    </r>
  </si>
  <si>
    <r>
      <t>LaErO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</si>
  <si>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LaMnO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</si>
  <si>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LaTiO</t>
    </r>
    <r>
      <rPr>
        <vertAlign val="subscript"/>
        <sz val="11"/>
        <color theme="1"/>
        <rFont val="Times New Roman"/>
        <charset val="134"/>
      </rPr>
      <t>3</t>
    </r>
  </si>
  <si>
    <r>
      <t>LaYbO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-33</t>
    </r>
  </si>
  <si>
    <r>
      <t>LiBaH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-221</t>
    </r>
  </si>
  <si>
    <r>
      <t>LiIO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-182</t>
    </r>
  </si>
  <si>
    <r>
      <rPr>
        <sz val="11"/>
        <color theme="1"/>
        <rFont val="Times New Roman"/>
        <charset val="134"/>
      </rPr>
      <t>P6</t>
    </r>
    <r>
      <rPr>
        <vertAlign val="subscript"/>
        <sz val="11"/>
        <color theme="1"/>
        <rFont val="Times New Roman"/>
        <charset val="134"/>
      </rPr>
      <t>3</t>
    </r>
  </si>
  <si>
    <r>
      <t>LiIO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_1</t>
    </r>
  </si>
  <si>
    <r>
      <t>LiSbO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-52</t>
    </r>
  </si>
  <si>
    <t>Pnna</t>
  </si>
  <si>
    <r>
      <t>LiTaO</t>
    </r>
    <r>
      <rPr>
        <vertAlign val="subscript"/>
        <sz val="11"/>
        <color theme="1"/>
        <rFont val="Times New Roman"/>
        <charset val="134"/>
      </rPr>
      <t>3</t>
    </r>
  </si>
  <si>
    <r>
      <t>LiVO</t>
    </r>
    <r>
      <rPr>
        <vertAlign val="subscript"/>
        <sz val="11"/>
        <color theme="1"/>
        <rFont val="Times New Roman"/>
        <charset val="134"/>
      </rPr>
      <t>3</t>
    </r>
  </si>
  <si>
    <r>
      <t>LuBO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-167</t>
    </r>
  </si>
  <si>
    <r>
      <t>LuMnO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-185</t>
    </r>
  </si>
  <si>
    <r>
      <t>MgCO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-167</t>
    </r>
  </si>
  <si>
    <r>
      <t>MgRbCl</t>
    </r>
    <r>
      <rPr>
        <vertAlign val="subscript"/>
        <sz val="11"/>
        <color theme="1"/>
        <rFont val="Times New Roman"/>
        <charset val="134"/>
      </rPr>
      <t>3</t>
    </r>
  </si>
  <si>
    <r>
      <t>MgSeO</t>
    </r>
    <r>
      <rPr>
        <vertAlign val="subscript"/>
        <sz val="11"/>
        <color theme="1"/>
        <rFont val="Times New Roman"/>
        <charset val="134"/>
      </rPr>
      <t>3</t>
    </r>
  </si>
  <si>
    <r>
      <t>MgSiO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</t>
    </r>
  </si>
  <si>
    <r>
      <t>MgVO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</si>
  <si>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Cmc2</t>
    </r>
    <r>
      <rPr>
        <vertAlign val="subscript"/>
        <sz val="11"/>
        <color theme="1"/>
        <rFont val="Times New Roman"/>
        <charset val="134"/>
      </rPr>
      <t>1</t>
    </r>
  </si>
  <si>
    <r>
      <t>MnCsBr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-194</t>
    </r>
  </si>
  <si>
    <r>
      <t>MnCsCl</t>
    </r>
    <r>
      <rPr>
        <vertAlign val="subscript"/>
        <sz val="11"/>
        <color theme="1"/>
        <rFont val="Times New Roman"/>
        <charset val="134"/>
      </rPr>
      <t>3</t>
    </r>
  </si>
  <si>
    <r>
      <t>MnRbCl</t>
    </r>
    <r>
      <rPr>
        <vertAlign val="subscript"/>
        <sz val="11"/>
        <color theme="1"/>
        <rFont val="Times New Roman"/>
        <charset val="134"/>
      </rPr>
      <t>3</t>
    </r>
  </si>
  <si>
    <r>
      <t>MnRbSr</t>
    </r>
    <r>
      <rPr>
        <vertAlign val="subscript"/>
        <sz val="11"/>
        <color theme="1"/>
        <rFont val="Times New Roman"/>
        <charset val="134"/>
      </rPr>
      <t>3</t>
    </r>
  </si>
  <si>
    <r>
      <t>MnSeO</t>
    </r>
    <r>
      <rPr>
        <vertAlign val="subscript"/>
        <sz val="11"/>
        <color theme="1"/>
        <rFont val="Times New Roman"/>
        <charset val="134"/>
      </rPr>
      <t>3</t>
    </r>
  </si>
  <si>
    <r>
      <t>MnSO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-148</t>
    </r>
  </si>
  <si>
    <r>
      <t>NaAsO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</t>
    </r>
  </si>
  <si>
    <r>
      <t>NaClO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</t>
    </r>
  </si>
  <si>
    <r>
      <t>NaCoF</t>
    </r>
    <r>
      <rPr>
        <vertAlign val="subscript"/>
        <sz val="11"/>
        <color theme="1"/>
        <rFont val="Times New Roman"/>
        <charset val="134"/>
      </rPr>
      <t>3</t>
    </r>
  </si>
  <si>
    <r>
      <t>NaIO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-33</t>
    </r>
  </si>
  <si>
    <r>
      <t>NaMnCl</t>
    </r>
    <r>
      <rPr>
        <vertAlign val="subscript"/>
        <sz val="11"/>
        <color theme="1"/>
        <rFont val="Times New Roman"/>
        <charset val="134"/>
      </rPr>
      <t>3</t>
    </r>
  </si>
  <si>
    <r>
      <t>NaMnF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</si>
  <si>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NaNbO</t>
    </r>
    <r>
      <rPr>
        <vertAlign val="subscript"/>
        <sz val="11"/>
        <color theme="1"/>
        <rFont val="Times New Roman"/>
        <charset val="134"/>
      </rPr>
      <t>3</t>
    </r>
  </si>
  <si>
    <r>
      <t>NaNbO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-57</t>
    </r>
  </si>
  <si>
    <r>
      <t>P</t>
    </r>
    <r>
      <rPr>
        <vertAlign val="sub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Tl</t>
    </r>
    <r>
      <rPr>
        <vertAlign val="sub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12</t>
    </r>
  </si>
  <si>
    <r>
      <rPr>
        <sz val="11"/>
        <color theme="1"/>
        <rFont val="Times New Roman"/>
        <charset val="134"/>
      </rPr>
      <t>P</t>
    </r>
    <r>
      <rPr>
        <vertAlign val="sub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2</t>
    </r>
    <r>
      <rPr>
        <vertAlign val="subscript"/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c</t>
    </r>
  </si>
  <si>
    <r>
      <t>PbClO</t>
    </r>
    <r>
      <rPr>
        <vertAlign val="subscript"/>
        <sz val="11"/>
        <color theme="1"/>
        <rFont val="Times New Roman"/>
        <charset val="134"/>
      </rPr>
      <t>3</t>
    </r>
  </si>
  <si>
    <r>
      <t>PbRbI</t>
    </r>
    <r>
      <rPr>
        <vertAlign val="subscript"/>
        <sz val="11"/>
        <color theme="1"/>
        <rFont val="Times New Roman"/>
        <charset val="134"/>
      </rPr>
      <t>3</t>
    </r>
  </si>
  <si>
    <r>
      <t>PbSnS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</si>
  <si>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PbTlI</t>
    </r>
    <r>
      <rPr>
        <vertAlign val="subscript"/>
        <sz val="11"/>
        <color theme="1"/>
        <rFont val="Times New Roman"/>
        <charset val="134"/>
      </rPr>
      <t>3</t>
    </r>
  </si>
  <si>
    <r>
      <t>PbZrS</t>
    </r>
    <r>
      <rPr>
        <vertAlign val="subscript"/>
        <sz val="11"/>
        <color theme="1"/>
        <rFont val="Times New Roman"/>
        <charset val="134"/>
      </rPr>
      <t>3</t>
    </r>
  </si>
  <si>
    <r>
      <t>PrMnO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</si>
  <si>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RbAgF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-140</t>
    </r>
  </si>
  <si>
    <r>
      <t>RbCrI</t>
    </r>
    <r>
      <rPr>
        <vertAlign val="subscript"/>
        <sz val="11"/>
        <color theme="1"/>
        <rFont val="Times New Roman"/>
        <charset val="134"/>
      </rPr>
      <t>3</t>
    </r>
  </si>
  <si>
    <r>
      <t>RbCuCl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-5</t>
    </r>
  </si>
  <si>
    <r>
      <t>RbCuCl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-60</t>
    </r>
  </si>
  <si>
    <t>P63/mmc</t>
  </si>
  <si>
    <r>
      <t>RbGeI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</t>
    </r>
  </si>
  <si>
    <r>
      <t>RbHgF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-221</t>
    </r>
  </si>
  <si>
    <r>
      <t>RbMgCl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-194</t>
    </r>
  </si>
  <si>
    <t>P63/mmc(2)</t>
  </si>
  <si>
    <r>
      <t>RbMnBr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-194</t>
    </r>
  </si>
  <si>
    <r>
      <t>RbNbO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-2</t>
    </r>
  </si>
  <si>
    <r>
      <t>RbNiCl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-194</t>
    </r>
  </si>
  <si>
    <r>
      <t>RbNO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-59</t>
    </r>
  </si>
  <si>
    <t>Pmmn</t>
  </si>
  <si>
    <r>
      <t>RbPO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</t>
    </r>
  </si>
  <si>
    <r>
      <t>RbTaO</t>
    </r>
    <r>
      <rPr>
        <vertAlign val="subscript"/>
        <sz val="11"/>
        <color theme="1"/>
        <rFont val="Times New Roman"/>
        <charset val="134"/>
      </rPr>
      <t>3</t>
    </r>
  </si>
  <si>
    <r>
      <t>RbVO</t>
    </r>
    <r>
      <rPr>
        <vertAlign val="subscript"/>
        <sz val="11"/>
        <color theme="1"/>
        <rFont val="Times New Roman"/>
        <charset val="134"/>
      </rPr>
      <t>3</t>
    </r>
  </si>
  <si>
    <r>
      <t>SbTlO</t>
    </r>
    <r>
      <rPr>
        <vertAlign val="subscript"/>
        <sz val="11"/>
        <color theme="1"/>
        <rFont val="Times New Roman"/>
        <charset val="134"/>
      </rPr>
      <t>3</t>
    </r>
  </si>
  <si>
    <t>P-31c</t>
  </si>
  <si>
    <r>
      <t>ScUS</t>
    </r>
    <r>
      <rPr>
        <vertAlign val="subscript"/>
        <sz val="11"/>
        <color theme="1"/>
        <rFont val="Times New Roman"/>
        <charset val="134"/>
      </rPr>
      <t>3</t>
    </r>
  </si>
  <si>
    <r>
      <t>ScYS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-33</t>
    </r>
  </si>
  <si>
    <r>
      <t>SeZnO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</si>
  <si>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SiZnO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-15</t>
    </r>
  </si>
  <si>
    <r>
      <t>SmAlO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</si>
  <si>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SmBO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</t>
    </r>
  </si>
  <si>
    <r>
      <t>SmTiO</t>
    </r>
    <r>
      <rPr>
        <vertAlign val="subscript"/>
        <sz val="11"/>
        <color theme="1"/>
        <rFont val="Times New Roman"/>
        <charset val="134"/>
      </rPr>
      <t>3</t>
    </r>
  </si>
  <si>
    <r>
      <t>Sn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P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S</t>
    </r>
    <r>
      <rPr>
        <vertAlign val="subscript"/>
        <sz val="11"/>
        <color theme="1"/>
        <rFont val="Times New Roman"/>
        <charset val="134"/>
      </rPr>
      <t>6</t>
    </r>
    <r>
      <rPr>
        <sz val="11"/>
        <color theme="1"/>
        <rFont val="Times New Roman"/>
        <charset val="134"/>
      </rPr>
      <t>-7</t>
    </r>
  </si>
  <si>
    <t>Pc</t>
  </si>
  <si>
    <r>
      <t>SrIrO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-15</t>
    </r>
  </si>
  <si>
    <r>
      <t>SrPbO</t>
    </r>
    <r>
      <rPr>
        <vertAlign val="subscript"/>
        <sz val="11"/>
        <color theme="1"/>
        <rFont val="Times New Roman"/>
        <charset val="134"/>
      </rPr>
      <t>3</t>
    </r>
  </si>
  <si>
    <r>
      <t>SrZrO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</si>
  <si>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SrZrO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_2</t>
    </r>
  </si>
  <si>
    <r>
      <t>SrZrS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</si>
  <si>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TaRbO</t>
    </r>
    <r>
      <rPr>
        <vertAlign val="subscript"/>
        <sz val="11"/>
        <color theme="1"/>
        <rFont val="Times New Roman"/>
        <charset val="134"/>
      </rPr>
      <t>3</t>
    </r>
  </si>
  <si>
    <r>
      <t>TbFeO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</si>
  <si>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TbMnO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</si>
  <si>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TiGdO</t>
    </r>
    <r>
      <rPr>
        <vertAlign val="subscript"/>
        <sz val="11"/>
        <color theme="1"/>
        <rFont val="Times New Roman"/>
        <charset val="134"/>
      </rPr>
      <t>3</t>
    </r>
  </si>
  <si>
    <r>
      <t>TiNdO</t>
    </r>
    <r>
      <rPr>
        <vertAlign val="subscript"/>
        <sz val="11"/>
        <color theme="1"/>
        <rFont val="Times New Roman"/>
        <charset val="134"/>
      </rPr>
      <t>3</t>
    </r>
  </si>
  <si>
    <r>
      <t>TiSmO</t>
    </r>
    <r>
      <rPr>
        <vertAlign val="subscript"/>
        <sz val="11"/>
        <color theme="1"/>
        <rFont val="Times New Roman"/>
        <charset val="134"/>
      </rPr>
      <t>3</t>
    </r>
  </si>
  <si>
    <r>
      <t>TiVO</t>
    </r>
    <r>
      <rPr>
        <vertAlign val="subscript"/>
        <sz val="11"/>
        <color theme="1"/>
        <rFont val="Times New Roman"/>
        <charset val="134"/>
      </rPr>
      <t>3</t>
    </r>
  </si>
  <si>
    <r>
      <t>TiYO</t>
    </r>
    <r>
      <rPr>
        <vertAlign val="subscript"/>
        <sz val="11"/>
        <color theme="1"/>
        <rFont val="Times New Roman"/>
        <charset val="134"/>
      </rPr>
      <t>3</t>
    </r>
  </si>
  <si>
    <r>
      <t>TlCdI</t>
    </r>
    <r>
      <rPr>
        <vertAlign val="subscript"/>
        <sz val="11"/>
        <color theme="1"/>
        <rFont val="Times New Roman"/>
        <charset val="134"/>
      </rPr>
      <t>3</t>
    </r>
  </si>
  <si>
    <r>
      <t>TlMnCl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</si>
  <si>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TlNO</t>
    </r>
    <r>
      <rPr>
        <vertAlign val="subscript"/>
        <sz val="11"/>
        <color theme="1"/>
        <rFont val="Times New Roman"/>
        <charset val="134"/>
      </rPr>
      <t>3</t>
    </r>
  </si>
  <si>
    <r>
      <t>TlSbO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-163</t>
    </r>
  </si>
  <si>
    <r>
      <t>TlSbO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-182</t>
    </r>
  </si>
  <si>
    <r>
      <rPr>
        <sz val="11"/>
        <color theme="1"/>
        <rFont val="Times New Roman"/>
        <charset val="134"/>
      </rPr>
      <t>P6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22</t>
    </r>
  </si>
  <si>
    <r>
      <t>TmFeO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-62</t>
    </r>
  </si>
  <si>
    <r>
      <t>YFeO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-33</t>
    </r>
  </si>
  <si>
    <r>
      <t>ZnSeO</t>
    </r>
    <r>
      <rPr>
        <vertAlign val="subscript"/>
        <sz val="11"/>
        <color theme="1"/>
        <rFont val="Times New Roman"/>
        <charset val="134"/>
      </rPr>
      <t>3</t>
    </r>
  </si>
  <si>
    <r>
      <t>ZnSiO</t>
    </r>
    <r>
      <rPr>
        <vertAlign val="subscript"/>
        <sz val="11"/>
        <color theme="1"/>
        <rFont val="Times New Roman"/>
        <charset val="134"/>
      </rPr>
      <t>3</t>
    </r>
  </si>
  <si>
    <r>
      <t>ZnTeO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-61</t>
    </r>
  </si>
  <si>
    <t>Pbca</t>
  </si>
  <si>
    <r>
      <t>ZnTiO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-148</t>
    </r>
  </si>
  <si>
    <r>
      <t>ZrSrO</t>
    </r>
    <r>
      <rPr>
        <vertAlign val="subscript"/>
        <sz val="11"/>
        <color theme="1"/>
        <rFont val="Times New Roman"/>
        <charset val="13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</si>
</sst>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color theme="1"/>
      <name val="Times New Roman"/>
      <charset val="134"/>
    </font>
    <font>
      <vertAlign val="subscript"/>
      <sz val="10.5"/>
      <color theme="1"/>
      <name val="Times New Roman"/>
      <charset val="134"/>
    </font>
    <font>
      <vertAlign val="sub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11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zoomScale="130" zoomScaleNormal="130" workbookViewId="0">
      <selection activeCell="B168" sqref="B168"/>
    </sheetView>
  </sheetViews>
  <sheetFormatPr defaultColWidth="8.88888888888889" defaultRowHeight="14.4" outlineLevelCol="6"/>
  <cols>
    <col min="1" max="1" width="18.7777777777778" style="1" customWidth="1"/>
    <col min="2" max="2" width="13.1111111111111" style="1" customWidth="1"/>
    <col min="3" max="3" width="15.3333333333333" style="2" customWidth="1"/>
    <col min="4" max="4" width="12.6666666666667" style="2" customWidth="1"/>
    <col min="5" max="5" width="12" style="2" customWidth="1"/>
    <col min="6" max="6" width="13.7777777777778" style="2" customWidth="1"/>
  </cols>
  <sheetData>
    <row r="1" ht="18" spans="1: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8" spans="1:5">
      <c r="A2" s="3" t="s">
        <v>6</v>
      </c>
      <c r="B2" s="3" t="s">
        <v>7</v>
      </c>
      <c r="C2" s="2">
        <f>-111.78229/8</f>
        <v>-13.97278625</v>
      </c>
      <c r="E2" s="2">
        <f>-111.41808/8</f>
        <v>-13.92726</v>
      </c>
    </row>
    <row r="3" ht="18" spans="1:6">
      <c r="A3" s="3" t="s">
        <v>8</v>
      </c>
      <c r="B3" s="3" t="s">
        <v>9</v>
      </c>
      <c r="D3" s="2">
        <f>-84.813895/6</f>
        <v>-14.1356491666667</v>
      </c>
      <c r="F3" s="2">
        <f>-84.259796/6</f>
        <v>-14.0432993333333</v>
      </c>
    </row>
    <row r="4" ht="18" spans="1:6">
      <c r="A4" s="3" t="s">
        <v>10</v>
      </c>
      <c r="B4" s="3" t="s">
        <v>9</v>
      </c>
      <c r="D4" s="2">
        <f>-84.790251/6</f>
        <v>-14.1317085</v>
      </c>
      <c r="F4" s="2">
        <f>-84.257256/6</f>
        <v>-14.042876</v>
      </c>
    </row>
    <row r="5" ht="18" spans="1:5">
      <c r="A5" s="3" t="s">
        <v>11</v>
      </c>
      <c r="B5" s="3" t="s">
        <v>12</v>
      </c>
      <c r="C5" s="2">
        <f>-56.698791/4</f>
        <v>-14.17469775</v>
      </c>
      <c r="E5" s="2">
        <f>-56.394427/4</f>
        <v>-14.09860675</v>
      </c>
    </row>
    <row r="6" ht="18" spans="1:5">
      <c r="A6" s="3" t="s">
        <v>13</v>
      </c>
      <c r="B6" s="3" t="s">
        <v>14</v>
      </c>
      <c r="C6" s="2">
        <f>-83.35198/6</f>
        <v>-13.8919966666667</v>
      </c>
      <c r="E6" s="2">
        <f>-82.897162/6</f>
        <v>-13.8161936666667</v>
      </c>
    </row>
    <row r="7" ht="18" spans="1:6">
      <c r="A7" s="3" t="s">
        <v>15</v>
      </c>
      <c r="B7" s="3" t="s">
        <v>12</v>
      </c>
      <c r="D7" s="2">
        <f>-56.699052/4</f>
        <v>-14.174763</v>
      </c>
      <c r="F7" s="2">
        <f>-56.394599/4</f>
        <v>-14.09864975</v>
      </c>
    </row>
    <row r="8" ht="18" spans="1:6">
      <c r="A8" s="3" t="s">
        <v>16</v>
      </c>
      <c r="B8" s="3" t="s">
        <v>17</v>
      </c>
      <c r="D8" s="2">
        <f>-112.18317/8</f>
        <v>-14.02289625</v>
      </c>
      <c r="F8" s="2">
        <f>-111.24254/8</f>
        <v>-13.9053175</v>
      </c>
    </row>
    <row r="9" ht="18" spans="1:5">
      <c r="A9" s="3" t="s">
        <v>18</v>
      </c>
      <c r="B9" s="3" t="s">
        <v>19</v>
      </c>
      <c r="C9" s="2">
        <f>-112.22811/8</f>
        <v>-14.02851375</v>
      </c>
      <c r="E9" s="2">
        <f>-111.38842/8</f>
        <v>-13.9235525</v>
      </c>
    </row>
    <row r="10" ht="18" spans="1:6">
      <c r="A10" s="3" t="s">
        <v>20</v>
      </c>
      <c r="B10" s="3" t="s">
        <v>21</v>
      </c>
      <c r="D10" s="2">
        <f>-55.560988/4</f>
        <v>-13.890247</v>
      </c>
      <c r="F10" s="2">
        <f>-55.437723/4</f>
        <v>-13.85943075</v>
      </c>
    </row>
    <row r="11" ht="18" spans="1:6">
      <c r="A11" s="3" t="s">
        <v>22</v>
      </c>
      <c r="B11" s="3" t="s">
        <v>23</v>
      </c>
      <c r="D11" s="2">
        <f>-22.408652/2</f>
        <v>-11.204326</v>
      </c>
      <c r="F11" s="2">
        <f>-22.328652/2</f>
        <v>-11.164326</v>
      </c>
    </row>
    <row r="12" ht="18" spans="1:5">
      <c r="A12" s="3" t="s">
        <v>24</v>
      </c>
      <c r="B12" s="3" t="s">
        <v>19</v>
      </c>
      <c r="C12" s="2">
        <f>-56.158584/4</f>
        <v>-14.039646</v>
      </c>
      <c r="E12" s="2">
        <f>-55.714737/4</f>
        <v>-13.92868425</v>
      </c>
    </row>
    <row r="13" ht="18" spans="1:5">
      <c r="A13" s="3" t="s">
        <v>25</v>
      </c>
      <c r="B13" s="3" t="s">
        <v>26</v>
      </c>
      <c r="C13" s="2">
        <v>-14.061404</v>
      </c>
      <c r="E13" s="2">
        <v>-13.829192</v>
      </c>
    </row>
    <row r="14" ht="18" spans="1:6">
      <c r="A14" s="3" t="s">
        <v>27</v>
      </c>
      <c r="B14" s="3" t="s">
        <v>28</v>
      </c>
      <c r="D14" s="2">
        <f>-26.509219/2</f>
        <v>-13.2546095</v>
      </c>
      <c r="F14" s="2">
        <f>-26.106636/2</f>
        <v>-13.053318</v>
      </c>
    </row>
    <row r="15" ht="18" spans="1:5">
      <c r="A15" s="3" t="s">
        <v>29</v>
      </c>
      <c r="B15" s="3" t="s">
        <v>30</v>
      </c>
      <c r="C15" s="2">
        <f>-56.572041/4</f>
        <v>-14.14301025</v>
      </c>
      <c r="E15" s="2">
        <f>-56.136593/4</f>
        <v>-14.03414825</v>
      </c>
    </row>
    <row r="16" ht="18" spans="1:6">
      <c r="A16" s="3" t="s">
        <v>31</v>
      </c>
      <c r="B16" s="3" t="s">
        <v>19</v>
      </c>
      <c r="D16" s="2">
        <f>-56.160215/4</f>
        <v>-14.04005375</v>
      </c>
      <c r="F16" s="2">
        <f>-55.728654/4</f>
        <v>-13.9321635</v>
      </c>
    </row>
    <row r="17" ht="18" spans="1:5">
      <c r="A17" s="3" t="s">
        <v>32</v>
      </c>
      <c r="B17" s="3" t="s">
        <v>9</v>
      </c>
      <c r="C17" s="2">
        <f>-84.826751/6</f>
        <v>-14.1377918333333</v>
      </c>
      <c r="E17" s="2">
        <f>-84.26038/6</f>
        <v>-14.0433966666667</v>
      </c>
    </row>
    <row r="18" ht="18" spans="1:5">
      <c r="A18" s="3" t="s">
        <v>33</v>
      </c>
      <c r="B18" s="3" t="s">
        <v>34</v>
      </c>
      <c r="C18" s="2">
        <f>-28.16885/2</f>
        <v>-14.084425</v>
      </c>
      <c r="E18" s="2">
        <f>-28.021216/2</f>
        <v>-14.010608</v>
      </c>
    </row>
    <row r="19" ht="18" spans="1:5">
      <c r="A19" s="3" t="s">
        <v>35</v>
      </c>
      <c r="B19" s="3" t="s">
        <v>21</v>
      </c>
      <c r="C19" s="2">
        <f>-164.23524/12</f>
        <v>-13.68627</v>
      </c>
      <c r="E19" s="2">
        <f>-163.39267/12</f>
        <v>-13.6160558333333</v>
      </c>
    </row>
    <row r="20" ht="18" spans="1:5">
      <c r="A20" s="3" t="s">
        <v>36</v>
      </c>
      <c r="B20" s="3" t="s">
        <v>21</v>
      </c>
      <c r="C20" s="2">
        <f>-56.771126/4</f>
        <v>-14.1927815</v>
      </c>
      <c r="E20" s="2">
        <f>-56.197474/4</f>
        <v>-14.0493685</v>
      </c>
    </row>
    <row r="21" ht="18" spans="1:6">
      <c r="A21" s="3" t="s">
        <v>37</v>
      </c>
      <c r="B21" s="3" t="s">
        <v>38</v>
      </c>
      <c r="C21" s="2"/>
      <c r="D21" s="2">
        <v>-12.574894</v>
      </c>
      <c r="E21" s="2"/>
      <c r="F21" s="2">
        <v>-12.017177</v>
      </c>
    </row>
    <row r="22" ht="18" spans="1:5">
      <c r="A22" s="3" t="s">
        <v>39</v>
      </c>
      <c r="B22" s="3" t="s">
        <v>23</v>
      </c>
      <c r="C22" s="2">
        <f>-28.264218/2</f>
        <v>-14.132109</v>
      </c>
      <c r="E22" s="2">
        <f>-27.830405/2</f>
        <v>-13.9152025</v>
      </c>
    </row>
    <row r="23" ht="18" spans="1:5">
      <c r="A23" s="3" t="s">
        <v>40</v>
      </c>
      <c r="B23" s="3" t="s">
        <v>21</v>
      </c>
      <c r="C23" s="2">
        <f>-56.758332/4</f>
        <v>-14.189583</v>
      </c>
      <c r="E23" s="2">
        <f>-56.188684/4</f>
        <v>-14.047171</v>
      </c>
    </row>
    <row r="24" ht="18" spans="1:5">
      <c r="A24" s="3" t="s">
        <v>41</v>
      </c>
      <c r="B24" s="3" t="s">
        <v>21</v>
      </c>
      <c r="C24" s="2">
        <f>-56.90468/4</f>
        <v>-14.22617</v>
      </c>
      <c r="E24" s="2">
        <f>-56.53889/4</f>
        <v>-14.1347225</v>
      </c>
    </row>
    <row r="25" ht="18" spans="1:5">
      <c r="A25" s="3" t="s">
        <v>42</v>
      </c>
      <c r="B25" s="3" t="s">
        <v>19</v>
      </c>
      <c r="C25" s="2">
        <f>-56.107279/4</f>
        <v>-14.02681975</v>
      </c>
      <c r="E25" s="2">
        <f>-55.924048/4</f>
        <v>-13.981012</v>
      </c>
    </row>
    <row r="26" ht="18" spans="1:6">
      <c r="A26" s="3" t="s">
        <v>43</v>
      </c>
      <c r="B26" s="3" t="s">
        <v>44</v>
      </c>
      <c r="D26" s="2">
        <f>-53.721504/4</f>
        <v>-13.430376</v>
      </c>
      <c r="F26" s="2">
        <f>-53.558816/4</f>
        <v>-13.389704</v>
      </c>
    </row>
    <row r="27" ht="18" spans="1:6">
      <c r="A27" s="3" t="s">
        <v>45</v>
      </c>
      <c r="B27" s="3" t="s">
        <v>46</v>
      </c>
      <c r="D27" s="2">
        <f>-56.771126/4</f>
        <v>-14.1927815</v>
      </c>
      <c r="F27" s="2">
        <f>-56.197474/4</f>
        <v>-14.0493685</v>
      </c>
    </row>
    <row r="28" ht="18" spans="1:5">
      <c r="A28" s="3" t="s">
        <v>47</v>
      </c>
      <c r="B28" s="3" t="s">
        <v>48</v>
      </c>
      <c r="C28" s="2">
        <f>-56.675308/4</f>
        <v>-14.168827</v>
      </c>
      <c r="E28" s="2">
        <f>-56.439676/4</f>
        <v>-14.109919</v>
      </c>
    </row>
    <row r="29" ht="18" spans="1:5">
      <c r="A29" s="3" t="s">
        <v>49</v>
      </c>
      <c r="B29" s="3" t="s">
        <v>50</v>
      </c>
      <c r="C29" s="2">
        <f>-28.211516/2</f>
        <v>-14.105758</v>
      </c>
      <c r="E29" s="2">
        <f>-28.140894/2</f>
        <v>-14.070447</v>
      </c>
    </row>
    <row r="30" ht="18" spans="1:5">
      <c r="A30" s="3" t="s">
        <v>51</v>
      </c>
      <c r="B30" s="3" t="s">
        <v>12</v>
      </c>
      <c r="C30" s="2">
        <f>-56.701169/4</f>
        <v>-14.17529225</v>
      </c>
      <c r="E30" s="2">
        <f>-56.396563/4</f>
        <v>-14.09914075</v>
      </c>
    </row>
    <row r="31" ht="18" spans="1:5">
      <c r="A31" s="3" t="s">
        <v>52</v>
      </c>
      <c r="B31" s="3" t="s">
        <v>53</v>
      </c>
      <c r="C31" s="2">
        <f>-66.18504/6</f>
        <v>-11.03084</v>
      </c>
      <c r="E31" s="2">
        <f>-68.451213/6</f>
        <v>-11.4085355</v>
      </c>
    </row>
    <row r="32" ht="18" spans="1:5">
      <c r="A32" s="3" t="s">
        <v>54</v>
      </c>
      <c r="B32" s="3" t="s">
        <v>17</v>
      </c>
      <c r="C32" s="2">
        <f>-112.19611/8</f>
        <v>-14.02451375</v>
      </c>
      <c r="E32" s="2">
        <f>-111.24975/8</f>
        <v>-13.90621875</v>
      </c>
    </row>
    <row r="33" ht="18" spans="1:5">
      <c r="A33" s="3" t="s">
        <v>55</v>
      </c>
      <c r="B33" s="3" t="s">
        <v>50</v>
      </c>
      <c r="C33" s="2">
        <f>-28.2092/2</f>
        <v>-14.1046</v>
      </c>
      <c r="E33" s="2">
        <f>-28.139309/2</f>
        <v>-14.0696545</v>
      </c>
    </row>
    <row r="34" ht="18" spans="1:6">
      <c r="A34" s="3" t="s">
        <v>56</v>
      </c>
      <c r="B34" s="3" t="s">
        <v>12</v>
      </c>
      <c r="C34" s="2"/>
      <c r="D34" s="2">
        <f>-56.70065/4</f>
        <v>-14.1751625</v>
      </c>
      <c r="F34" s="2">
        <f>-56.39503/4</f>
        <v>-14.0987575</v>
      </c>
    </row>
    <row r="35" ht="18" spans="1:6">
      <c r="A35" s="3" t="s">
        <v>57</v>
      </c>
      <c r="B35" s="3" t="s">
        <v>58</v>
      </c>
      <c r="C35" s="4"/>
      <c r="D35" s="4">
        <v>-13.90669</v>
      </c>
      <c r="E35" s="4"/>
      <c r="F35" s="4">
        <v>-13.80604</v>
      </c>
    </row>
    <row r="36" ht="18" spans="1:6">
      <c r="A36" s="3" t="s">
        <v>59</v>
      </c>
      <c r="B36" s="3" t="s">
        <v>12</v>
      </c>
      <c r="C36" s="4"/>
      <c r="D36" s="4">
        <f>-56.70501/4</f>
        <v>-14.1762525</v>
      </c>
      <c r="E36" s="4"/>
      <c r="F36" s="4">
        <f>-56.39873/4</f>
        <v>-14.0996825</v>
      </c>
    </row>
    <row r="37" ht="18" spans="1:6">
      <c r="A37" s="3" t="s">
        <v>60</v>
      </c>
      <c r="B37" s="3" t="s">
        <v>61</v>
      </c>
      <c r="C37" s="4">
        <f>-113.39969/8</f>
        <v>-14.17496125</v>
      </c>
      <c r="D37" s="4"/>
      <c r="E37" s="4">
        <f>-112.2275/8</f>
        <v>-14.0284375</v>
      </c>
      <c r="F37" s="4"/>
    </row>
    <row r="38" ht="18" spans="1:6">
      <c r="A38" s="3" t="s">
        <v>62</v>
      </c>
      <c r="B38" s="3" t="s">
        <v>46</v>
      </c>
      <c r="C38" s="4"/>
      <c r="D38" s="4">
        <f>-56.7567532/4</f>
        <v>-14.1891883</v>
      </c>
      <c r="E38" s="4"/>
      <c r="F38" s="4">
        <f>-56.183429/4</f>
        <v>-14.04585725</v>
      </c>
    </row>
    <row r="39" ht="18" spans="1:6">
      <c r="A39" s="3" t="s">
        <v>63</v>
      </c>
      <c r="B39" s="3" t="s">
        <v>64</v>
      </c>
      <c r="C39" s="4">
        <v>-13.72938</v>
      </c>
      <c r="D39" s="4"/>
      <c r="E39" s="4">
        <v>-13.65547</v>
      </c>
      <c r="F39" s="4"/>
    </row>
    <row r="40" ht="18" spans="1:5">
      <c r="A40" s="3" t="s">
        <v>65</v>
      </c>
      <c r="B40" s="5" t="s">
        <v>66</v>
      </c>
      <c r="C40" s="2">
        <f>-113.33987/8</f>
        <v>-14.16748375</v>
      </c>
      <c r="E40" s="2">
        <f>-112.38744/8</f>
        <v>-14.04843</v>
      </c>
    </row>
    <row r="41" ht="18" spans="1:5">
      <c r="A41" s="3" t="s">
        <v>67</v>
      </c>
      <c r="B41" s="3" t="s">
        <v>68</v>
      </c>
      <c r="C41" s="2">
        <f>-84.762641/6</f>
        <v>-14.1271068333333</v>
      </c>
      <c r="E41" s="2">
        <f>-84.583549/6</f>
        <v>-14.0972581666667</v>
      </c>
    </row>
    <row r="42" ht="18" spans="1:5">
      <c r="A42" s="3" t="s">
        <v>69</v>
      </c>
      <c r="B42" s="3" t="s">
        <v>38</v>
      </c>
      <c r="C42" s="2">
        <v>-14.075859</v>
      </c>
      <c r="E42" s="2">
        <v>-13.894727</v>
      </c>
    </row>
    <row r="43" ht="18" spans="1:5">
      <c r="A43" s="3" t="s">
        <v>70</v>
      </c>
      <c r="B43" s="3" t="s">
        <v>44</v>
      </c>
      <c r="C43" s="2">
        <f>-113.2765/8</f>
        <v>-14.1595625</v>
      </c>
      <c r="E43" s="2">
        <f>-112.57735/8</f>
        <v>-14.07216875</v>
      </c>
    </row>
    <row r="44" ht="18" spans="1:5">
      <c r="A44" s="3" t="s">
        <v>71</v>
      </c>
      <c r="B44" s="3" t="s">
        <v>44</v>
      </c>
      <c r="C44" s="2">
        <f>-56.185748/4</f>
        <v>-14.046437</v>
      </c>
      <c r="E44" s="2">
        <f>-55.745069/4</f>
        <v>-13.93626725</v>
      </c>
    </row>
    <row r="45" ht="18" spans="1:5">
      <c r="A45" s="3" t="s">
        <v>72</v>
      </c>
      <c r="B45" s="3" t="s">
        <v>73</v>
      </c>
      <c r="C45" s="2">
        <f>-56.699732/4</f>
        <v>-14.174933</v>
      </c>
      <c r="E45" s="2">
        <f>-56.084425/4</f>
        <v>-14.02110625</v>
      </c>
    </row>
    <row r="46" ht="18" spans="1:5">
      <c r="A46" s="3" t="s">
        <v>74</v>
      </c>
      <c r="B46" s="3" t="s">
        <v>21</v>
      </c>
      <c r="C46" s="2">
        <f>-56.90466/4</f>
        <v>-14.226165</v>
      </c>
      <c r="E46" s="2">
        <f>-56.5375/4</f>
        <v>-14.134375</v>
      </c>
    </row>
    <row r="47" ht="18" spans="1:6">
      <c r="A47" s="3" t="s">
        <v>75</v>
      </c>
      <c r="B47" s="3" t="s">
        <v>76</v>
      </c>
      <c r="C47" s="4">
        <v>-13.49282</v>
      </c>
      <c r="D47" s="4"/>
      <c r="E47" s="4">
        <v>-13.58399</v>
      </c>
      <c r="F47" s="4"/>
    </row>
    <row r="48" ht="18" spans="1:6">
      <c r="A48" s="3" t="s">
        <v>77</v>
      </c>
      <c r="B48" s="3" t="s">
        <v>78</v>
      </c>
      <c r="C48" s="4"/>
      <c r="D48" s="4">
        <v>-13.219198725</v>
      </c>
      <c r="E48" s="4"/>
      <c r="F48" s="4">
        <v>-13.2975</v>
      </c>
    </row>
    <row r="49" ht="18" spans="1:5">
      <c r="A49" s="3" t="s">
        <v>79</v>
      </c>
      <c r="B49" s="3" t="s">
        <v>80</v>
      </c>
      <c r="C49" s="2">
        <f>-56.255237/4</f>
        <v>-14.06380925</v>
      </c>
      <c r="E49" s="2">
        <f>-55.322358/4</f>
        <v>-13.8305895</v>
      </c>
    </row>
    <row r="50" ht="18" spans="1:5">
      <c r="A50" s="3" t="s">
        <v>81</v>
      </c>
      <c r="B50" s="3" t="s">
        <v>80</v>
      </c>
      <c r="C50" s="2">
        <f>-56.255064/4</f>
        <v>-14.063766</v>
      </c>
      <c r="E50" s="2">
        <f>-55.322747/4</f>
        <v>-13.83068675</v>
      </c>
    </row>
    <row r="51" ht="18" spans="1:6">
      <c r="A51" s="3" t="s">
        <v>82</v>
      </c>
      <c r="B51" s="3" t="s">
        <v>19</v>
      </c>
      <c r="D51" s="2">
        <f>-56.158445/4</f>
        <v>-14.03961125</v>
      </c>
      <c r="F51" s="2">
        <f>-55.714812/4</f>
        <v>-13.928703</v>
      </c>
    </row>
    <row r="52" ht="18" spans="1:6">
      <c r="A52" s="3" t="s">
        <v>83</v>
      </c>
      <c r="B52" s="3" t="s">
        <v>12</v>
      </c>
      <c r="D52" s="2">
        <f>-56.70779/4</f>
        <v>-14.1769475</v>
      </c>
      <c r="F52" s="2">
        <f>-56.39542/4</f>
        <v>-14.098855</v>
      </c>
    </row>
    <row r="53" ht="18" spans="1:6">
      <c r="A53" s="3" t="s">
        <v>84</v>
      </c>
      <c r="B53" s="3" t="s">
        <v>21</v>
      </c>
      <c r="C53" s="4">
        <v>-13.89657</v>
      </c>
      <c r="D53" s="4"/>
      <c r="E53" s="4">
        <v>-13.82284</v>
      </c>
      <c r="F53" s="4"/>
    </row>
    <row r="54" ht="18" spans="1:6">
      <c r="A54" s="3" t="s">
        <v>85</v>
      </c>
      <c r="B54" s="3" t="s">
        <v>86</v>
      </c>
      <c r="C54" s="4">
        <v>-13.539533</v>
      </c>
      <c r="D54" s="4"/>
      <c r="E54" s="4">
        <v>-13.892826</v>
      </c>
      <c r="F54" s="4"/>
    </row>
    <row r="55" ht="18" spans="1:6">
      <c r="A55" s="3" t="s">
        <v>87</v>
      </c>
      <c r="B55" s="3" t="s">
        <v>88</v>
      </c>
      <c r="C55" s="4">
        <v>-14.00376</v>
      </c>
      <c r="D55" s="4"/>
      <c r="E55" s="4">
        <v>-13.96156</v>
      </c>
      <c r="F55" s="4"/>
    </row>
    <row r="56" ht="18" spans="1:6">
      <c r="A56" s="3" t="s">
        <v>89</v>
      </c>
      <c r="B56" s="3" t="s">
        <v>73</v>
      </c>
      <c r="C56" s="4"/>
      <c r="D56" s="4">
        <v>-14.00514</v>
      </c>
      <c r="E56" s="4"/>
      <c r="F56" s="4">
        <v>-13.95019</v>
      </c>
    </row>
    <row r="57" ht="18" spans="1:6">
      <c r="A57" s="3" t="s">
        <v>90</v>
      </c>
      <c r="B57" s="3" t="s">
        <v>50</v>
      </c>
      <c r="D57" s="2">
        <f>-28.21968/2</f>
        <v>-14.10984</v>
      </c>
      <c r="F57" s="2">
        <f>-28.1451/2</f>
        <v>-14.07255</v>
      </c>
    </row>
    <row r="58" ht="18" spans="1:6">
      <c r="A58" s="3" t="s">
        <v>91</v>
      </c>
      <c r="B58" s="3" t="s">
        <v>48</v>
      </c>
      <c r="D58" s="2">
        <f>-56.67652/4</f>
        <v>-14.16913</v>
      </c>
      <c r="F58" s="2">
        <f>-56.43125/4</f>
        <v>-14.1078125</v>
      </c>
    </row>
    <row r="59" ht="18" spans="1:6">
      <c r="A59" s="3" t="s">
        <v>92</v>
      </c>
      <c r="B59" s="3" t="s">
        <v>93</v>
      </c>
      <c r="C59" s="4">
        <f>-84.610881/6</f>
        <v>-14.1018135</v>
      </c>
      <c r="D59" s="4"/>
      <c r="E59" s="4">
        <v>-14.06836</v>
      </c>
      <c r="F59" s="4"/>
    </row>
    <row r="60" ht="18" spans="1:6">
      <c r="A60" s="3" t="s">
        <v>94</v>
      </c>
      <c r="B60" s="3" t="s">
        <v>12</v>
      </c>
      <c r="D60" s="2">
        <f>-56.71144/4</f>
        <v>-14.17786</v>
      </c>
      <c r="F60" s="2">
        <f>-56.39851/4</f>
        <v>-14.0996275</v>
      </c>
    </row>
    <row r="61" ht="18" spans="1:6">
      <c r="A61" s="3" t="s">
        <v>95</v>
      </c>
      <c r="B61" s="3" t="s">
        <v>12</v>
      </c>
      <c r="D61" s="2">
        <f>-56.710045/4</f>
        <v>-14.17751125</v>
      </c>
      <c r="F61" s="2">
        <f>-56.39987/4</f>
        <v>-14.0999675</v>
      </c>
    </row>
    <row r="62" ht="18" spans="1:6">
      <c r="A62" s="3" t="s">
        <v>96</v>
      </c>
      <c r="B62" s="3" t="s">
        <v>97</v>
      </c>
      <c r="C62" s="4">
        <v>-13.66454</v>
      </c>
      <c r="D62" s="4"/>
      <c r="E62" s="4">
        <v>-13.70336</v>
      </c>
      <c r="F62" s="4"/>
    </row>
    <row r="63" ht="18" spans="1:6">
      <c r="A63" s="3" t="s">
        <v>98</v>
      </c>
      <c r="B63" s="3" t="s">
        <v>12</v>
      </c>
      <c r="C63" s="4"/>
      <c r="D63" s="4">
        <f>-56.70414/4</f>
        <v>-14.176035</v>
      </c>
      <c r="E63" s="4"/>
      <c r="F63" s="4">
        <f>-56.38996/4</f>
        <v>-14.09749</v>
      </c>
    </row>
    <row r="64" ht="18" spans="1:6">
      <c r="A64" s="3" t="s">
        <v>99</v>
      </c>
      <c r="B64" s="3" t="s">
        <v>12</v>
      </c>
      <c r="C64" s="4"/>
      <c r="D64" s="4">
        <f>-56.7094245/4</f>
        <v>-14.177356125</v>
      </c>
      <c r="E64" s="4"/>
      <c r="F64" s="4">
        <f>-56.39378/4</f>
        <v>-14.098445</v>
      </c>
    </row>
    <row r="65" ht="18" spans="1:6">
      <c r="A65" s="3" t="s">
        <v>100</v>
      </c>
      <c r="B65" s="3" t="s">
        <v>46</v>
      </c>
      <c r="C65" s="4"/>
      <c r="D65" s="4">
        <f>-56.771056/4</f>
        <v>-14.192764</v>
      </c>
      <c r="E65" s="4"/>
      <c r="F65" s="4">
        <f>-56.197844/4</f>
        <v>-14.049461</v>
      </c>
    </row>
    <row r="66" ht="18" spans="1:6">
      <c r="A66" s="6" t="s">
        <v>101</v>
      </c>
      <c r="B66" s="3" t="s">
        <v>34</v>
      </c>
      <c r="C66" s="4">
        <v>-14.08441</v>
      </c>
      <c r="D66" s="4"/>
      <c r="E66" s="4">
        <v>-14.0105</v>
      </c>
      <c r="F66" s="4"/>
    </row>
    <row r="67" ht="18" spans="1:6">
      <c r="A67" s="3" t="s">
        <v>102</v>
      </c>
      <c r="B67" s="3" t="s">
        <v>88</v>
      </c>
      <c r="C67" s="4"/>
      <c r="D67" s="4">
        <f>-28.213035/2</f>
        <v>-14.1065175</v>
      </c>
      <c r="E67" s="4"/>
      <c r="F67" s="4">
        <f>-28.141967/2</f>
        <v>-14.0709835</v>
      </c>
    </row>
    <row r="68" ht="18" spans="1:6">
      <c r="A68" s="3" t="s">
        <v>103</v>
      </c>
      <c r="B68" s="3" t="s">
        <v>17</v>
      </c>
      <c r="C68" s="4"/>
      <c r="D68" s="4">
        <v>-14.00556</v>
      </c>
      <c r="E68" s="4"/>
      <c r="F68" s="4">
        <v>-13.95061</v>
      </c>
    </row>
    <row r="69" ht="18" spans="1:5">
      <c r="A69" s="3" t="s">
        <v>104</v>
      </c>
      <c r="B69" s="3" t="s">
        <v>9</v>
      </c>
      <c r="C69" s="2">
        <f>-84.791512/6</f>
        <v>-14.1319186666667</v>
      </c>
      <c r="E69" s="2">
        <f>-84.257114/6</f>
        <v>-14.0428523333333</v>
      </c>
    </row>
    <row r="70" ht="18" spans="1:5">
      <c r="A70" s="3" t="s">
        <v>105</v>
      </c>
      <c r="B70" s="3" t="s">
        <v>12</v>
      </c>
      <c r="C70" s="2">
        <f>-56.71012/4</f>
        <v>-14.17753</v>
      </c>
      <c r="E70" s="2">
        <f>-56.39745/4</f>
        <v>-14.0993625</v>
      </c>
    </row>
    <row r="71" ht="18" spans="1:5">
      <c r="A71" s="3" t="s">
        <v>106</v>
      </c>
      <c r="B71" s="3" t="s">
        <v>12</v>
      </c>
      <c r="C71" s="2">
        <f>-56.70996/4</f>
        <v>-14.17749</v>
      </c>
      <c r="E71" s="2">
        <f>-56.39887/4</f>
        <v>-14.0997175</v>
      </c>
    </row>
    <row r="72" ht="18" spans="1:6">
      <c r="A72" s="3" t="s">
        <v>107</v>
      </c>
      <c r="B72" s="3" t="s">
        <v>97</v>
      </c>
      <c r="C72" s="4"/>
      <c r="D72" s="4">
        <v>-13.77414</v>
      </c>
      <c r="E72" s="4"/>
      <c r="F72" s="4">
        <v>-13.74423</v>
      </c>
    </row>
    <row r="73" ht="18" spans="1:6">
      <c r="A73" s="3" t="s">
        <v>108</v>
      </c>
      <c r="B73" s="3" t="s">
        <v>109</v>
      </c>
      <c r="C73" s="4"/>
      <c r="D73" s="4">
        <v>-14.00027</v>
      </c>
      <c r="E73" s="4"/>
      <c r="F73" s="4">
        <v>-13.89534</v>
      </c>
    </row>
    <row r="74" ht="18" spans="1:5">
      <c r="A74" s="3" t="s">
        <v>110</v>
      </c>
      <c r="B74" s="3" t="s">
        <v>80</v>
      </c>
      <c r="C74" s="2">
        <f>-56.255241/4</f>
        <v>-14.06381025</v>
      </c>
      <c r="E74" s="2">
        <f>-55.322363/4</f>
        <v>-13.83059075</v>
      </c>
    </row>
    <row r="75" ht="18" spans="1:6">
      <c r="A75" s="3" t="s">
        <v>111</v>
      </c>
      <c r="B75" s="3" t="s">
        <v>112</v>
      </c>
      <c r="D75" s="2">
        <f>-56.33738/4</f>
        <v>-14.084345</v>
      </c>
      <c r="F75" s="2">
        <f>-56.042066/4</f>
        <v>-14.0105165</v>
      </c>
    </row>
    <row r="76" ht="18" spans="1:6">
      <c r="A76" s="3" t="s">
        <v>113</v>
      </c>
      <c r="B76" s="3" t="s">
        <v>38</v>
      </c>
      <c r="D76" s="2">
        <v>-14.075724</v>
      </c>
      <c r="F76" s="2">
        <v>-13.89465</v>
      </c>
    </row>
    <row r="77" ht="18" spans="1:5">
      <c r="A77" s="3" t="s">
        <v>114</v>
      </c>
      <c r="B77" s="3" t="s">
        <v>21</v>
      </c>
      <c r="C77" s="2">
        <f>-56.916567/4</f>
        <v>-14.22914175</v>
      </c>
      <c r="E77" s="2">
        <f>-56.546333/4</f>
        <v>-14.13658325</v>
      </c>
    </row>
    <row r="78" ht="18" spans="1:5">
      <c r="A78" s="3" t="s">
        <v>115</v>
      </c>
      <c r="B78" s="3" t="s">
        <v>21</v>
      </c>
      <c r="C78" s="2">
        <f>-56.916569/4</f>
        <v>-14.22914225</v>
      </c>
      <c r="E78" s="2">
        <f>-56.546351/4</f>
        <v>-14.13658775</v>
      </c>
    </row>
    <row r="79" ht="18" spans="1:5">
      <c r="A79" s="3" t="s">
        <v>116</v>
      </c>
      <c r="B79" s="3" t="s">
        <v>26</v>
      </c>
      <c r="C79" s="2">
        <v>-14.061421</v>
      </c>
      <c r="E79" s="2">
        <v>-13.829187</v>
      </c>
    </row>
    <row r="80" ht="18" spans="1:5">
      <c r="A80" s="3" t="s">
        <v>117</v>
      </c>
      <c r="B80" s="3" t="s">
        <v>21</v>
      </c>
      <c r="C80" s="2">
        <f>-56.916569/4</f>
        <v>-14.22914225</v>
      </c>
      <c r="E80" s="2">
        <f>-56.546341/4</f>
        <v>-14.13658525</v>
      </c>
    </row>
    <row r="81" ht="18" spans="1:6">
      <c r="A81" s="3" t="s">
        <v>118</v>
      </c>
      <c r="B81" s="3" t="s">
        <v>119</v>
      </c>
      <c r="C81" s="2">
        <f>-56.570623/4</f>
        <v>-14.14265575</v>
      </c>
      <c r="D81" s="4"/>
      <c r="E81" s="4">
        <f>-56.00285/4</f>
        <v>-14.0007125</v>
      </c>
      <c r="F81" s="4"/>
    </row>
    <row r="82" ht="18" spans="1:6">
      <c r="A82" s="3" t="s">
        <v>120</v>
      </c>
      <c r="B82" s="3" t="s">
        <v>121</v>
      </c>
      <c r="C82" s="2">
        <f>-28.129482/2</f>
        <v>-14.064741</v>
      </c>
      <c r="D82" s="4"/>
      <c r="E82" s="4">
        <v>-13.88319</v>
      </c>
      <c r="F82" s="4"/>
    </row>
    <row r="83" ht="18" spans="1:5">
      <c r="A83" s="3" t="s">
        <v>122</v>
      </c>
      <c r="B83" s="3" t="s">
        <v>97</v>
      </c>
      <c r="C83" s="2">
        <f>-85.130872/6</f>
        <v>-14.1884786666667</v>
      </c>
      <c r="E83" s="2">
        <f>-84.242896/6</f>
        <v>-14.0404826666667</v>
      </c>
    </row>
    <row r="84" ht="18" spans="1:5">
      <c r="A84" s="3" t="s">
        <v>123</v>
      </c>
      <c r="B84" s="3" t="s">
        <v>80</v>
      </c>
      <c r="C84" s="2">
        <f>-56.255258/4</f>
        <v>-14.0638145</v>
      </c>
      <c r="E84" s="2">
        <f>-55.322345/4</f>
        <v>-13.83058625</v>
      </c>
    </row>
    <row r="85" ht="18" spans="1:6">
      <c r="A85" s="3" t="s">
        <v>124</v>
      </c>
      <c r="B85" s="3" t="s">
        <v>46</v>
      </c>
      <c r="D85" s="2">
        <f>-56.7567545/4</f>
        <v>-14.189188625</v>
      </c>
      <c r="F85" s="2">
        <f>-56.183436/4</f>
        <v>-14.045859</v>
      </c>
    </row>
    <row r="86" ht="18" spans="1:6">
      <c r="A86" s="6" t="s">
        <v>125</v>
      </c>
      <c r="B86" s="3" t="s">
        <v>34</v>
      </c>
      <c r="C86" s="4">
        <v>-14.08283007</v>
      </c>
      <c r="D86" s="4"/>
      <c r="E86" s="4">
        <v>-14.00967</v>
      </c>
      <c r="F86" s="4"/>
    </row>
    <row r="87" ht="18" spans="1:5">
      <c r="A87" s="3" t="s">
        <v>126</v>
      </c>
      <c r="B87" s="3" t="s">
        <v>12</v>
      </c>
      <c r="C87" s="2">
        <f>-56.70989/4</f>
        <v>-14.1774725</v>
      </c>
      <c r="E87" s="2">
        <f>-56.39871/4</f>
        <v>-14.0996775</v>
      </c>
    </row>
    <row r="88" ht="18" spans="1:5">
      <c r="A88" s="3" t="s">
        <v>127</v>
      </c>
      <c r="B88" s="3" t="s">
        <v>12</v>
      </c>
      <c r="C88" s="2">
        <f>-56.70863/4</f>
        <v>-14.1771575</v>
      </c>
      <c r="E88" s="2">
        <f>-56.39788/4</f>
        <v>-14.09947</v>
      </c>
    </row>
    <row r="89" ht="18" spans="1:5">
      <c r="A89" s="3" t="s">
        <v>128</v>
      </c>
      <c r="B89" s="3" t="s">
        <v>12</v>
      </c>
      <c r="C89" s="2">
        <f>-56.71051/4</f>
        <v>-14.1776275</v>
      </c>
      <c r="E89" s="2">
        <f>-56.39899/4</f>
        <v>-14.0997475</v>
      </c>
    </row>
    <row r="90" ht="18" spans="1:5">
      <c r="A90" s="3" t="s">
        <v>129</v>
      </c>
      <c r="B90" s="3" t="s">
        <v>12</v>
      </c>
      <c r="C90" s="2">
        <f>-56.71005/4</f>
        <v>-14.1775125</v>
      </c>
      <c r="E90" s="2">
        <f>-56.39863/4</f>
        <v>-14.0996575</v>
      </c>
    </row>
    <row r="91" ht="18" spans="1:6">
      <c r="A91" s="3" t="s">
        <v>130</v>
      </c>
      <c r="B91" s="3" t="s">
        <v>12</v>
      </c>
      <c r="D91" s="2">
        <f>-56.709797/4</f>
        <v>-14.17744925</v>
      </c>
      <c r="F91" s="2">
        <f>-56.39837/4</f>
        <v>-14.0995925</v>
      </c>
    </row>
    <row r="92" ht="18" spans="1:5">
      <c r="A92" s="3" t="s">
        <v>131</v>
      </c>
      <c r="B92" s="3" t="s">
        <v>26</v>
      </c>
      <c r="C92" s="2">
        <v>-14.061434</v>
      </c>
      <c r="E92" s="2">
        <v>-13.829182</v>
      </c>
    </row>
    <row r="93" ht="18" spans="1:6">
      <c r="A93" s="3" t="s">
        <v>132</v>
      </c>
      <c r="B93" s="3" t="s">
        <v>133</v>
      </c>
      <c r="D93" s="2">
        <f>-28.30368/2</f>
        <v>-14.15184</v>
      </c>
      <c r="F93" s="2">
        <f>-28.193628/2</f>
        <v>-14.096814</v>
      </c>
    </row>
    <row r="94" ht="18" spans="1:6">
      <c r="A94" s="3" t="s">
        <v>134</v>
      </c>
      <c r="B94" s="3" t="s">
        <v>133</v>
      </c>
      <c r="D94" s="2">
        <f>-28.30368/2</f>
        <v>-14.15184</v>
      </c>
      <c r="F94" s="2">
        <f>-28.193628/2</f>
        <v>-14.096814</v>
      </c>
    </row>
    <row r="95" ht="18" spans="1:7">
      <c r="A95" s="3" t="s">
        <v>135</v>
      </c>
      <c r="B95" s="3" t="s">
        <v>136</v>
      </c>
      <c r="C95" s="4">
        <v>-14.05223</v>
      </c>
      <c r="D95" s="4"/>
      <c r="E95" s="4">
        <v>-14.02847</v>
      </c>
      <c r="F95" s="4"/>
      <c r="G95" s="7"/>
    </row>
    <row r="96" ht="18" spans="1:7">
      <c r="A96" s="3" t="s">
        <v>137</v>
      </c>
      <c r="B96" s="3" t="s">
        <v>9</v>
      </c>
      <c r="C96" s="4"/>
      <c r="D96" s="4">
        <f>-84.790287/6</f>
        <v>-14.1317145</v>
      </c>
      <c r="E96" s="4"/>
      <c r="F96" s="4">
        <f>-84.257284/6</f>
        <v>-14.0428806666667</v>
      </c>
      <c r="G96" s="7"/>
    </row>
    <row r="97" ht="18" spans="1:7">
      <c r="A97" s="3" t="s">
        <v>138</v>
      </c>
      <c r="B97" s="3" t="s">
        <v>17</v>
      </c>
      <c r="C97" s="4">
        <f>-112.19623/8</f>
        <v>-14.02452875</v>
      </c>
      <c r="D97" s="4"/>
      <c r="E97" s="4">
        <f>-111.24981/8</f>
        <v>-13.90622625</v>
      </c>
      <c r="F97" s="4"/>
      <c r="G97" s="7"/>
    </row>
    <row r="98" ht="18" spans="1:7">
      <c r="A98" s="3" t="s">
        <v>139</v>
      </c>
      <c r="B98" s="3" t="s">
        <v>9</v>
      </c>
      <c r="C98" s="4"/>
      <c r="D98" s="4">
        <f>-84.7902546/6</f>
        <v>-14.1317091</v>
      </c>
      <c r="E98" s="4"/>
      <c r="F98" s="4">
        <f>-84.257251/6</f>
        <v>-14.0428751666667</v>
      </c>
      <c r="G98" s="7"/>
    </row>
    <row r="99" ht="18" spans="1:7">
      <c r="A99" s="3" t="s">
        <v>140</v>
      </c>
      <c r="B99" s="3" t="s">
        <v>97</v>
      </c>
      <c r="C99" s="4">
        <v>-13.77249</v>
      </c>
      <c r="D99" s="4"/>
      <c r="E99" s="4">
        <v>13.7433</v>
      </c>
      <c r="F99" s="4"/>
      <c r="G99" s="7"/>
    </row>
    <row r="100" ht="18" spans="1:7">
      <c r="A100" s="3" t="s">
        <v>141</v>
      </c>
      <c r="B100" s="3" t="s">
        <v>9</v>
      </c>
      <c r="C100" s="4"/>
      <c r="D100" s="4">
        <f>-84.7902556/6</f>
        <v>-14.1317092666667</v>
      </c>
      <c r="E100" s="4"/>
      <c r="F100" s="4">
        <f>-84.257275/6</f>
        <v>-14.0428791666667</v>
      </c>
      <c r="G100" s="7"/>
    </row>
    <row r="101" ht="18" spans="1:7">
      <c r="A101" s="3" t="s">
        <v>142</v>
      </c>
      <c r="B101" s="3" t="s">
        <v>23</v>
      </c>
      <c r="C101" s="4">
        <f>-28.264451/2</f>
        <v>-14.1322255</v>
      </c>
      <c r="D101" s="4"/>
      <c r="E101" s="4">
        <f>-27.830587/2</f>
        <v>-13.9152935</v>
      </c>
      <c r="F101" s="4"/>
      <c r="G101" s="7"/>
    </row>
    <row r="102" ht="18" spans="1:7">
      <c r="A102" s="3" t="s">
        <v>143</v>
      </c>
      <c r="B102" s="3" t="s">
        <v>12</v>
      </c>
      <c r="C102" s="4"/>
      <c r="D102" s="4">
        <f>-56.709757/4</f>
        <v>-14.17743925</v>
      </c>
      <c r="E102" s="4"/>
      <c r="F102" s="4">
        <f>-56.39812/4</f>
        <v>-14.09953</v>
      </c>
      <c r="G102" s="7"/>
    </row>
    <row r="103" ht="18" spans="1:7">
      <c r="A103" s="3" t="s">
        <v>144</v>
      </c>
      <c r="B103" s="3" t="s">
        <v>44</v>
      </c>
      <c r="C103" s="4">
        <v>-13.99831</v>
      </c>
      <c r="D103" s="4"/>
      <c r="E103" s="4">
        <v>-13.089575</v>
      </c>
      <c r="F103" s="4"/>
      <c r="G103" s="7"/>
    </row>
    <row r="104" ht="18" spans="1:7">
      <c r="A104" s="3" t="s">
        <v>145</v>
      </c>
      <c r="B104" s="3" t="s">
        <v>146</v>
      </c>
      <c r="C104" s="4"/>
      <c r="D104" s="4">
        <f>-56.552242/4</f>
        <v>-14.1380605</v>
      </c>
      <c r="E104" s="4"/>
      <c r="F104" s="4">
        <f>-55.787037/4</f>
        <v>-13.94675925</v>
      </c>
      <c r="G104" s="7"/>
    </row>
    <row r="105" ht="18" spans="1:7">
      <c r="A105" s="3" t="s">
        <v>147</v>
      </c>
      <c r="B105" s="3" t="s">
        <v>23</v>
      </c>
      <c r="C105" s="4">
        <f>-28.264241/2</f>
        <v>-14.1321205</v>
      </c>
      <c r="D105" s="4"/>
      <c r="E105" s="4">
        <f>-27.830429/2</f>
        <v>-13.9152145</v>
      </c>
      <c r="F105" s="4"/>
      <c r="G105" s="7"/>
    </row>
    <row r="106" ht="18" spans="1:7">
      <c r="A106" s="3" t="s">
        <v>148</v>
      </c>
      <c r="B106" s="3" t="s">
        <v>38</v>
      </c>
      <c r="C106" s="4">
        <v>-14.10898587</v>
      </c>
      <c r="D106" s="4"/>
      <c r="E106" s="4">
        <v>-13.91691</v>
      </c>
      <c r="F106" s="4"/>
      <c r="G106" s="7"/>
    </row>
    <row r="107" ht="18" spans="1:5">
      <c r="A107" s="3" t="s">
        <v>149</v>
      </c>
      <c r="B107" s="3" t="s">
        <v>23</v>
      </c>
      <c r="C107" s="2">
        <f>-28.264243/2</f>
        <v>-14.1321215</v>
      </c>
      <c r="E107" s="2">
        <f>-27.830438/2</f>
        <v>-13.915219</v>
      </c>
    </row>
    <row r="108" ht="18" spans="1:5">
      <c r="A108" s="3" t="s">
        <v>150</v>
      </c>
      <c r="B108" s="3" t="s">
        <v>23</v>
      </c>
      <c r="C108" s="2">
        <f>-28.264258/2</f>
        <v>-14.132129</v>
      </c>
      <c r="E108" s="2">
        <f>-27.830461/2</f>
        <v>-13.9152305</v>
      </c>
    </row>
    <row r="109" ht="18" spans="1:6">
      <c r="A109" s="3" t="s">
        <v>151</v>
      </c>
      <c r="B109" s="3" t="s">
        <v>12</v>
      </c>
      <c r="D109" s="2">
        <f>-56.70484/4</f>
        <v>-14.17621</v>
      </c>
      <c r="F109" s="2">
        <f>-56.38973/4</f>
        <v>-14.0974325</v>
      </c>
    </row>
    <row r="110" ht="18" spans="1:6">
      <c r="A110" s="3" t="s">
        <v>152</v>
      </c>
      <c r="B110" s="3" t="s">
        <v>93</v>
      </c>
      <c r="C110" s="4"/>
      <c r="D110" s="4">
        <v>-13.96714</v>
      </c>
      <c r="E110" s="4"/>
      <c r="F110" s="4">
        <v>-13.90766</v>
      </c>
    </row>
    <row r="111" ht="18" spans="1:6">
      <c r="A111" s="3" t="s">
        <v>153</v>
      </c>
      <c r="B111" s="3" t="s">
        <v>88</v>
      </c>
      <c r="C111" s="4"/>
      <c r="D111" s="4">
        <v>-14.03797</v>
      </c>
      <c r="E111" s="4"/>
      <c r="F111" s="4">
        <v>-13.96249</v>
      </c>
    </row>
    <row r="112" ht="18" spans="1:6">
      <c r="A112" s="3" t="s">
        <v>154</v>
      </c>
      <c r="B112" s="3" t="s">
        <v>44</v>
      </c>
      <c r="C112" s="4">
        <v>-14.10668</v>
      </c>
      <c r="D112" s="4"/>
      <c r="E112" s="4">
        <v>-14.03109</v>
      </c>
      <c r="F112" s="4"/>
    </row>
    <row r="113" ht="18" spans="1:6">
      <c r="A113" s="3" t="s">
        <v>155</v>
      </c>
      <c r="B113" s="3" t="s">
        <v>12</v>
      </c>
      <c r="C113" s="4">
        <f>-56.70464/4</f>
        <v>-14.17616</v>
      </c>
      <c r="D113" s="4"/>
      <c r="E113" s="4">
        <f>-56.38972/4</f>
        <v>-14.09743</v>
      </c>
      <c r="F113" s="4"/>
    </row>
    <row r="114" ht="18" spans="1:6">
      <c r="A114" s="3" t="s">
        <v>156</v>
      </c>
      <c r="B114" s="3" t="s">
        <v>12</v>
      </c>
      <c r="C114" s="4"/>
      <c r="D114" s="4">
        <f>-56.70445/4</f>
        <v>-14.1761125</v>
      </c>
      <c r="E114" s="4"/>
      <c r="F114" s="4">
        <f>-56.38987/4</f>
        <v>-14.0974675</v>
      </c>
    </row>
    <row r="115" ht="18" spans="1:6">
      <c r="A115" s="3" t="s">
        <v>157</v>
      </c>
      <c r="B115" s="3" t="s">
        <v>9</v>
      </c>
      <c r="C115" s="4">
        <f>-84.813885/6</f>
        <v>-14.1356475</v>
      </c>
      <c r="D115" s="4"/>
      <c r="E115" s="4">
        <f>-84.259791/6</f>
        <v>-14.0432985</v>
      </c>
      <c r="F115" s="4"/>
    </row>
    <row r="116" ht="18" spans="1:6">
      <c r="A116" s="3" t="s">
        <v>158</v>
      </c>
      <c r="B116" s="3" t="s">
        <v>12</v>
      </c>
      <c r="C116" s="4">
        <f>-56.70431/4</f>
        <v>-14.1760775</v>
      </c>
      <c r="D116" s="4"/>
      <c r="E116" s="4">
        <f>-56.38976/4</f>
        <v>-14.09744</v>
      </c>
      <c r="F116" s="4"/>
    </row>
    <row r="117" ht="18" spans="1:6">
      <c r="A117" s="3" t="s">
        <v>159</v>
      </c>
      <c r="B117" s="3" t="s">
        <v>9</v>
      </c>
      <c r="C117" s="4">
        <f>-113.03992/8</f>
        <v>-14.12999</v>
      </c>
      <c r="D117" s="4"/>
      <c r="E117" s="4">
        <f>-112.17138/8</f>
        <v>-14.0214225</v>
      </c>
      <c r="F117" s="4"/>
    </row>
    <row r="118" ht="18" spans="1:6">
      <c r="A118" s="3" t="s">
        <v>160</v>
      </c>
      <c r="B118" s="3" t="s">
        <v>76</v>
      </c>
      <c r="C118" s="4">
        <f>-55.208731/4</f>
        <v>-13.80218275</v>
      </c>
      <c r="D118" s="4"/>
      <c r="E118" s="4">
        <f>-54.806529/4</f>
        <v>-13.70163225</v>
      </c>
      <c r="F118" s="4"/>
    </row>
    <row r="119" ht="18" spans="1:6">
      <c r="A119" s="3" t="s">
        <v>161</v>
      </c>
      <c r="B119" s="3" t="s">
        <v>162</v>
      </c>
      <c r="C119" s="4"/>
      <c r="D119" s="4">
        <v>-13.96841</v>
      </c>
      <c r="E119" s="4"/>
      <c r="F119" s="4">
        <v>-13.87164</v>
      </c>
    </row>
    <row r="120" ht="18" spans="1:5">
      <c r="A120" s="3" t="s">
        <v>163</v>
      </c>
      <c r="B120" s="3" t="s">
        <v>46</v>
      </c>
      <c r="C120" s="2">
        <f>-56.7567532/4</f>
        <v>-14.1891883</v>
      </c>
      <c r="E120" s="2">
        <f>-56.183429/4</f>
        <v>-14.04585725</v>
      </c>
    </row>
    <row r="121" ht="18" spans="1:5">
      <c r="A121" s="3" t="s">
        <v>164</v>
      </c>
      <c r="B121" s="3" t="s">
        <v>21</v>
      </c>
      <c r="C121" s="2">
        <f>-56.916534/4</f>
        <v>-14.2291335</v>
      </c>
      <c r="E121" s="2">
        <f>-56.546341/4</f>
        <v>-14.13658525</v>
      </c>
    </row>
    <row r="122" ht="18" spans="1:5">
      <c r="A122" s="3" t="s">
        <v>165</v>
      </c>
      <c r="B122" s="3" t="s">
        <v>21</v>
      </c>
      <c r="C122" s="2">
        <f>-56.916566/4</f>
        <v>-14.2291415</v>
      </c>
      <c r="E122" s="2">
        <f>-56.546337/4</f>
        <v>-14.13658425</v>
      </c>
    </row>
    <row r="123" ht="18" spans="1:6">
      <c r="A123" s="3" t="s">
        <v>166</v>
      </c>
      <c r="B123" s="3" t="s">
        <v>48</v>
      </c>
      <c r="C123" s="2"/>
      <c r="D123" s="2">
        <f>-56.690565/4</f>
        <v>-14.17264125</v>
      </c>
      <c r="F123" s="2">
        <f>-56.449488/4</f>
        <v>-14.112372</v>
      </c>
    </row>
    <row r="124" ht="18" spans="1:5">
      <c r="A124" s="3" t="s">
        <v>167</v>
      </c>
      <c r="B124" s="3" t="s">
        <v>21</v>
      </c>
      <c r="C124" s="2">
        <f>-56.916561/4</f>
        <v>-14.22914025</v>
      </c>
      <c r="E124" s="2">
        <f>-56.546334/4</f>
        <v>-14.1365835</v>
      </c>
    </row>
    <row r="125" ht="18" spans="1:5">
      <c r="A125" s="3" t="s">
        <v>168</v>
      </c>
      <c r="B125" s="3" t="s">
        <v>12</v>
      </c>
      <c r="C125" s="2">
        <f>-56.70424/4</f>
        <v>-14.17606</v>
      </c>
      <c r="E125" s="2">
        <f>-56.38986/4</f>
        <v>-14.097465</v>
      </c>
    </row>
    <row r="126" ht="18" spans="1:5">
      <c r="A126" s="3" t="s">
        <v>169</v>
      </c>
      <c r="B126" s="3" t="s">
        <v>80</v>
      </c>
      <c r="C126" s="2">
        <f>-56.255215/4</f>
        <v>-14.06380375</v>
      </c>
      <c r="E126" s="2">
        <f>-55.322708/4</f>
        <v>-13.830677</v>
      </c>
    </row>
    <row r="127" ht="18" spans="1:5">
      <c r="A127" s="3" t="s">
        <v>170</v>
      </c>
      <c r="B127" s="3" t="s">
        <v>61</v>
      </c>
      <c r="C127" s="2">
        <f>-113.39973/8</f>
        <v>-14.17496625</v>
      </c>
      <c r="E127" s="2">
        <f>-112.2278/8</f>
        <v>-14.028475</v>
      </c>
    </row>
    <row r="128" ht="18" spans="1:5">
      <c r="A128" s="3" t="s">
        <v>171</v>
      </c>
      <c r="B128" s="3" t="s">
        <v>61</v>
      </c>
      <c r="C128" s="2">
        <f>-113.39961/8</f>
        <v>-14.17495125</v>
      </c>
      <c r="E128" s="2">
        <f>-112.2273/8</f>
        <v>-14.0284125</v>
      </c>
    </row>
    <row r="129" ht="18" spans="1:5">
      <c r="A129" s="3" t="s">
        <v>172</v>
      </c>
      <c r="B129" s="3" t="s">
        <v>173</v>
      </c>
      <c r="C129" s="2">
        <f>-28.264435/2</f>
        <v>-14.1322175</v>
      </c>
      <c r="E129" s="2">
        <f>-27.830573/2</f>
        <v>-13.9152865</v>
      </c>
    </row>
    <row r="130" ht="18" spans="1:5">
      <c r="A130" s="3" t="s">
        <v>174</v>
      </c>
      <c r="B130" s="3" t="s">
        <v>21</v>
      </c>
      <c r="C130" s="2">
        <f>-56.90464/4</f>
        <v>-14.22616</v>
      </c>
      <c r="E130" s="2">
        <f>-56.5371/4</f>
        <v>-14.134275</v>
      </c>
    </row>
    <row r="131" ht="18" spans="1:5">
      <c r="A131" s="3" t="s">
        <v>175</v>
      </c>
      <c r="B131" s="3" t="s">
        <v>26</v>
      </c>
      <c r="C131" s="2">
        <v>-14.076045</v>
      </c>
      <c r="E131" s="2">
        <v>-13.843663</v>
      </c>
    </row>
    <row r="132" ht="18" spans="1:5">
      <c r="A132" s="8" t="s">
        <v>176</v>
      </c>
      <c r="B132" s="3" t="s">
        <v>177</v>
      </c>
      <c r="C132" s="2">
        <f>-84.532143/6</f>
        <v>-14.0886905</v>
      </c>
      <c r="E132" s="2">
        <f>-83.304377/6</f>
        <v>-13.8840628333333</v>
      </c>
    </row>
    <row r="133" ht="18" spans="1:5">
      <c r="A133" s="3" t="s">
        <v>178</v>
      </c>
      <c r="B133" s="3" t="s">
        <v>173</v>
      </c>
      <c r="C133" s="2">
        <f>-28.264434/2</f>
        <v>-14.132217</v>
      </c>
      <c r="E133" s="2">
        <f>-27.830572/2</f>
        <v>-13.915286</v>
      </c>
    </row>
    <row r="134" ht="18" spans="1:5">
      <c r="A134" s="3" t="s">
        <v>179</v>
      </c>
      <c r="B134" s="3" t="s">
        <v>88</v>
      </c>
      <c r="C134" s="2">
        <f>-56.419331/4</f>
        <v>-14.10483275</v>
      </c>
      <c r="E134" s="2">
        <f>-56.030556/4</f>
        <v>-14.007639</v>
      </c>
    </row>
    <row r="135" ht="18" spans="1:5">
      <c r="A135" s="3" t="s">
        <v>180</v>
      </c>
      <c r="B135" s="3" t="s">
        <v>23</v>
      </c>
      <c r="C135" s="2">
        <f>-28.264421/2</f>
        <v>-14.1322105</v>
      </c>
      <c r="E135" s="2">
        <f>-27.830561/2</f>
        <v>-13.9152805</v>
      </c>
    </row>
    <row r="136" ht="18" spans="1:5">
      <c r="A136" s="3" t="s">
        <v>181</v>
      </c>
      <c r="B136" s="3" t="s">
        <v>182</v>
      </c>
      <c r="C136" s="2">
        <f>-28.011814/2</f>
        <v>-14.005907</v>
      </c>
      <c r="E136" s="2">
        <f>-27.874962/2</f>
        <v>-13.937481</v>
      </c>
    </row>
    <row r="137" ht="18" spans="1:6">
      <c r="A137" s="3" t="s">
        <v>183</v>
      </c>
      <c r="B137" s="3" t="s">
        <v>44</v>
      </c>
      <c r="C137" s="4"/>
      <c r="D137" s="4">
        <f>-55.954836/4</f>
        <v>-13.988709</v>
      </c>
      <c r="E137" s="4"/>
      <c r="F137" s="2">
        <f>-55.650869/4</f>
        <v>-13.91271725</v>
      </c>
    </row>
    <row r="138" ht="18" spans="1:5">
      <c r="A138" s="3" t="s">
        <v>184</v>
      </c>
      <c r="B138" s="3" t="s">
        <v>73</v>
      </c>
      <c r="C138" s="2">
        <f>-112.76261/8</f>
        <v>-14.09532625</v>
      </c>
      <c r="E138" s="2">
        <f>-112.08904/8</f>
        <v>-14.01113</v>
      </c>
    </row>
    <row r="139" ht="18" spans="1:5">
      <c r="A139" s="3" t="s">
        <v>185</v>
      </c>
      <c r="B139" s="3" t="s">
        <v>76</v>
      </c>
      <c r="C139" s="2">
        <f>-55.087155/4</f>
        <v>-13.77178875</v>
      </c>
      <c r="E139" s="2">
        <f>-54.939118/4</f>
        <v>-13.7347795</v>
      </c>
    </row>
    <row r="140" ht="18" spans="1:6">
      <c r="A140" s="3" t="s">
        <v>186</v>
      </c>
      <c r="B140" s="3" t="s">
        <v>187</v>
      </c>
      <c r="D140" s="2">
        <f>-56.391049/4</f>
        <v>-14.09776225</v>
      </c>
      <c r="F140" s="2">
        <f>-56.232247/4</f>
        <v>-14.05806175</v>
      </c>
    </row>
    <row r="141" ht="18" spans="1:6">
      <c r="A141" s="3" t="s">
        <v>188</v>
      </c>
      <c r="B141" s="3" t="s">
        <v>48</v>
      </c>
      <c r="D141" s="2">
        <f>-56.67674/4</f>
        <v>-14.169185</v>
      </c>
      <c r="F141" s="2">
        <f>-56.43131/4</f>
        <v>-14.1078275</v>
      </c>
    </row>
    <row r="142" ht="18" spans="1:5">
      <c r="A142" s="3" t="s">
        <v>189</v>
      </c>
      <c r="B142" s="3" t="s">
        <v>12</v>
      </c>
      <c r="C142" s="2">
        <f>-56.71002/4</f>
        <v>-14.177505</v>
      </c>
      <c r="E142" s="2">
        <f>-56.39941/4</f>
        <v>-14.0998525</v>
      </c>
    </row>
    <row r="143" ht="18" spans="1:5">
      <c r="A143" s="3" t="s">
        <v>190</v>
      </c>
      <c r="B143" s="3" t="s">
        <v>12</v>
      </c>
      <c r="C143" s="2">
        <f>-56.702678/4</f>
        <v>-14.1756695</v>
      </c>
      <c r="E143" s="2">
        <f>-56.39854/4</f>
        <v>-14.099635</v>
      </c>
    </row>
    <row r="144" ht="18" spans="1:5">
      <c r="A144" s="3" t="s">
        <v>191</v>
      </c>
      <c r="B144" s="3" t="s">
        <v>17</v>
      </c>
      <c r="C144" s="2">
        <f>-110.84218/8</f>
        <v>-13.8552725</v>
      </c>
      <c r="E144" s="2">
        <f>-110.1689/8</f>
        <v>-13.7711125</v>
      </c>
    </row>
    <row r="145" ht="18" spans="1:5">
      <c r="A145" s="3" t="s">
        <v>192</v>
      </c>
      <c r="B145" s="3" t="s">
        <v>12</v>
      </c>
      <c r="C145" s="2">
        <f>-56.702666/4</f>
        <v>-14.1756665</v>
      </c>
      <c r="E145" s="2">
        <f>-56.397/4</f>
        <v>-14.09925</v>
      </c>
    </row>
    <row r="146" ht="18" spans="1:6">
      <c r="A146" s="3" t="s">
        <v>193</v>
      </c>
      <c r="B146" s="3" t="s">
        <v>86</v>
      </c>
      <c r="D146" s="2">
        <f>-56.09254/4</f>
        <v>-14.023135</v>
      </c>
      <c r="F146" s="2">
        <f>-55.789342/4</f>
        <v>-13.9473355</v>
      </c>
    </row>
    <row r="147" ht="18" spans="1:5">
      <c r="A147" s="3" t="s">
        <v>194</v>
      </c>
      <c r="B147" s="3" t="s">
        <v>12</v>
      </c>
      <c r="C147" s="2">
        <f>-56.702664/4</f>
        <v>-14.175666</v>
      </c>
      <c r="E147" s="2">
        <f>-56.39699/4</f>
        <v>-14.0992475</v>
      </c>
    </row>
    <row r="148" ht="18" spans="1:6">
      <c r="A148" s="3" t="s">
        <v>195</v>
      </c>
      <c r="B148" s="3" t="s">
        <v>196</v>
      </c>
      <c r="D148" s="2">
        <f>-56.337586/4</f>
        <v>-14.0843965</v>
      </c>
      <c r="F148" s="2">
        <f>-56.042408/4</f>
        <v>-14.010602</v>
      </c>
    </row>
    <row r="149" ht="18" spans="1:6">
      <c r="A149" s="3" t="s">
        <v>197</v>
      </c>
      <c r="B149" s="3" t="s">
        <v>17</v>
      </c>
      <c r="D149" s="2">
        <f>-167.31719/12</f>
        <v>-13.9430991666667</v>
      </c>
      <c r="F149" s="2">
        <f>-166.18326/12</f>
        <v>-13.848605</v>
      </c>
    </row>
    <row r="150" ht="18" spans="1:5">
      <c r="A150" s="3" t="s">
        <v>198</v>
      </c>
      <c r="B150" s="3" t="s">
        <v>12</v>
      </c>
      <c r="C150" s="2">
        <f>-56.702765/4</f>
        <v>-14.17569125</v>
      </c>
      <c r="E150" s="2">
        <f>-56.39664/4</f>
        <v>-14.09916</v>
      </c>
    </row>
    <row r="151" ht="18" spans="1:5">
      <c r="A151" s="3" t="s">
        <v>199</v>
      </c>
      <c r="B151" s="3" t="s">
        <v>12</v>
      </c>
      <c r="C151" s="2">
        <f>-56.702621/4</f>
        <v>-14.17565525</v>
      </c>
      <c r="E151" s="2">
        <f>-56.39687/4</f>
        <v>-14.0992175</v>
      </c>
    </row>
    <row r="152" ht="18" spans="1:5">
      <c r="A152" s="3" t="s">
        <v>200</v>
      </c>
      <c r="B152" s="3" t="s">
        <v>48</v>
      </c>
      <c r="C152" s="2">
        <f>-113.20462/8</f>
        <v>-14.1505775</v>
      </c>
      <c r="E152" s="2">
        <f>-112.28501/8</f>
        <v>-14.03562625</v>
      </c>
    </row>
    <row r="153" ht="18" spans="1:5">
      <c r="A153" s="3" t="s">
        <v>201</v>
      </c>
      <c r="B153" s="3" t="s">
        <v>12</v>
      </c>
      <c r="C153" s="2">
        <f>-56.702744/4</f>
        <v>-14.175686</v>
      </c>
      <c r="E153" s="2">
        <f>-56.39763/4</f>
        <v>-14.0994075</v>
      </c>
    </row>
    <row r="154" ht="18" spans="1:6">
      <c r="A154" s="3" t="s">
        <v>202</v>
      </c>
      <c r="B154" s="3" t="s">
        <v>73</v>
      </c>
      <c r="D154" s="2">
        <f>-112.76203/8</f>
        <v>-14.09525375</v>
      </c>
      <c r="F154" s="2">
        <f>-112.08854/8</f>
        <v>-14.0110675</v>
      </c>
    </row>
    <row r="155" ht="18" spans="1:6">
      <c r="A155" s="3" t="s">
        <v>203</v>
      </c>
      <c r="B155" s="3" t="s">
        <v>12</v>
      </c>
      <c r="D155" s="2">
        <f>-56.702794/4</f>
        <v>-14.1756985</v>
      </c>
      <c r="F155" s="2">
        <f>-56.39712/4</f>
        <v>-14.09928</v>
      </c>
    </row>
    <row r="156" ht="18" spans="1:5">
      <c r="A156" s="3" t="s">
        <v>204</v>
      </c>
      <c r="B156" s="3" t="s">
        <v>12</v>
      </c>
      <c r="C156" s="2">
        <f>-56.702728/4</f>
        <v>-14.175682</v>
      </c>
      <c r="E156" s="2">
        <f>-56.39751/4</f>
        <v>-14.0993775</v>
      </c>
    </row>
    <row r="157" ht="18" spans="1:6">
      <c r="A157" s="3" t="s">
        <v>205</v>
      </c>
      <c r="B157" s="3" t="s">
        <v>12</v>
      </c>
      <c r="D157" s="2">
        <f>-56.702744/4</f>
        <v>-14.175686</v>
      </c>
      <c r="F157" s="2">
        <f>-56.39778/4</f>
        <v>-14.099445</v>
      </c>
    </row>
    <row r="158" ht="18" spans="1:6">
      <c r="A158" s="3" t="s">
        <v>206</v>
      </c>
      <c r="B158" s="3" t="s">
        <v>12</v>
      </c>
      <c r="D158" s="2">
        <f>-56.702541/4</f>
        <v>-14.17563525</v>
      </c>
      <c r="F158" s="2">
        <f>-56.397674/4</f>
        <v>-14.0994185</v>
      </c>
    </row>
    <row r="159" ht="18" spans="1:6">
      <c r="A159" s="3" t="s">
        <v>207</v>
      </c>
      <c r="B159" s="3" t="s">
        <v>12</v>
      </c>
      <c r="D159" s="2">
        <f>-56.702577/4</f>
        <v>-14.17564425</v>
      </c>
      <c r="F159" s="2">
        <f>-56.397684/4</f>
        <v>-14.099421</v>
      </c>
    </row>
    <row r="160" ht="18" spans="1:5">
      <c r="A160" s="3" t="s">
        <v>208</v>
      </c>
      <c r="B160" s="3" t="s">
        <v>76</v>
      </c>
      <c r="C160" s="2">
        <f>-55.207731/4</f>
        <v>-13.80193275</v>
      </c>
      <c r="E160" s="2">
        <f>-54.805529/4</f>
        <v>-13.70138225</v>
      </c>
    </row>
    <row r="161" ht="18" spans="1:6">
      <c r="A161" s="3" t="s">
        <v>209</v>
      </c>
      <c r="B161" s="3" t="s">
        <v>12</v>
      </c>
      <c r="D161" s="2">
        <f>-56.702598/4</f>
        <v>-14.1756495</v>
      </c>
      <c r="F161" s="2">
        <f>-56.397624/4</f>
        <v>-14.099406</v>
      </c>
    </row>
    <row r="162" ht="18" spans="1:5">
      <c r="A162" s="3" t="s">
        <v>210</v>
      </c>
      <c r="B162" s="3" t="s">
        <v>21</v>
      </c>
      <c r="C162" s="2">
        <f>-56.916537/4</f>
        <v>-14.22913425</v>
      </c>
      <c r="E162" s="2">
        <f>-56.546328/4</f>
        <v>-14.136582</v>
      </c>
    </row>
    <row r="163" ht="18" spans="1:5">
      <c r="A163" s="3" t="s">
        <v>211</v>
      </c>
      <c r="B163" s="3" t="s">
        <v>12</v>
      </c>
      <c r="C163" s="2">
        <f>-56.71002/4</f>
        <v>-14.177505</v>
      </c>
      <c r="E163" s="2">
        <f>-56.39941/4</f>
        <v>-14.0998525</v>
      </c>
    </row>
    <row r="164" ht="18" spans="1:5">
      <c r="A164" s="3" t="s">
        <v>212</v>
      </c>
      <c r="B164" s="3" t="s">
        <v>21</v>
      </c>
      <c r="C164" s="2">
        <f>-110.97371/8</f>
        <v>-13.87171375</v>
      </c>
      <c r="E164" s="2">
        <f>-110.67225/8</f>
        <v>-13.83403125</v>
      </c>
    </row>
    <row r="165" ht="18" spans="1:5">
      <c r="A165" s="3" t="s">
        <v>213</v>
      </c>
      <c r="B165" s="3" t="s">
        <v>187</v>
      </c>
      <c r="C165" s="2">
        <f>-56.391326/4</f>
        <v>-14.0978315</v>
      </c>
      <c r="E165" s="2">
        <f>-56.23269/4</f>
        <v>-14.0581725</v>
      </c>
    </row>
    <row r="166" ht="18" spans="1:5">
      <c r="A166" s="3" t="s">
        <v>214</v>
      </c>
      <c r="B166" s="3" t="s">
        <v>215</v>
      </c>
      <c r="C166" s="2">
        <f>-56.350782/4</f>
        <v>-14.0876955</v>
      </c>
      <c r="E166" s="2">
        <f>-56.136982/4</f>
        <v>-14.0342455</v>
      </c>
    </row>
    <row r="167" ht="18" spans="1:5">
      <c r="A167" s="3" t="s">
        <v>216</v>
      </c>
      <c r="B167" s="3" t="s">
        <v>12</v>
      </c>
      <c r="C167" s="2">
        <f>-56.70242/4</f>
        <v>-14.175605</v>
      </c>
      <c r="E167" s="2">
        <f>-56.397456/4</f>
        <v>-14.099364</v>
      </c>
    </row>
    <row r="168" ht="18" spans="1:5">
      <c r="A168" s="3" t="s">
        <v>217</v>
      </c>
      <c r="B168" s="3" t="s">
        <v>12</v>
      </c>
      <c r="C168" s="2">
        <f>-56.702577/4</f>
        <v>-14.17564425</v>
      </c>
      <c r="E168" s="2">
        <f>-56.397664/4</f>
        <v>-14.099416</v>
      </c>
    </row>
    <row r="169" ht="18" spans="1:6">
      <c r="A169" s="3" t="s">
        <v>218</v>
      </c>
      <c r="B169" s="3" t="s">
        <v>12</v>
      </c>
      <c r="D169" s="2">
        <f>-56.702598/4</f>
        <v>-14.1756495</v>
      </c>
      <c r="F169" s="2">
        <f>-56.397664/4</f>
        <v>-14.099416</v>
      </c>
    </row>
    <row r="170" ht="18" spans="1:5">
      <c r="A170" s="3" t="s">
        <v>219</v>
      </c>
      <c r="B170" s="3" t="s">
        <v>17</v>
      </c>
      <c r="C170" s="2">
        <f>-112.20073/8</f>
        <v>-14.02509125</v>
      </c>
      <c r="E170" s="2">
        <f>-111.25539/8</f>
        <v>-13.90692375</v>
      </c>
    </row>
    <row r="171" ht="18" spans="1:6">
      <c r="A171" s="3" t="s">
        <v>220</v>
      </c>
      <c r="B171" s="3" t="s">
        <v>221</v>
      </c>
      <c r="D171" s="2">
        <f>-112.2752/8</f>
        <v>-14.0344</v>
      </c>
      <c r="F171" s="2">
        <f>-112.08226/8</f>
        <v>-14.0102825</v>
      </c>
    </row>
    <row r="172" ht="18" spans="1:5">
      <c r="A172" s="3" t="s">
        <v>222</v>
      </c>
      <c r="B172" s="3" t="s">
        <v>93</v>
      </c>
      <c r="C172" s="2">
        <f>-28.212865/2</f>
        <v>-14.1064325</v>
      </c>
      <c r="E172" s="2">
        <f>-28.14177/2</f>
        <v>-14.070885</v>
      </c>
    </row>
    <row r="173" ht="18" spans="1:6">
      <c r="A173" s="3" t="s">
        <v>223</v>
      </c>
      <c r="B173" s="3" t="s">
        <v>12</v>
      </c>
      <c r="D173" s="2">
        <f>-56.702668/4</f>
        <v>-14.175667</v>
      </c>
      <c r="F173" s="2">
        <f>-56.397775/4</f>
        <v>-14.09944375</v>
      </c>
    </row>
  </sheetData>
  <autoFilter xmlns:etc="http://www.wps.cn/officeDocument/2017/etCustomData" ref="A1:A173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zq</cp:lastModifiedBy>
  <dcterms:created xsi:type="dcterms:W3CDTF">2025-04-01T02:21:00Z</dcterms:created>
  <dcterms:modified xsi:type="dcterms:W3CDTF">2025-04-05T02:18:54Z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829E6D828882475ABDBB69CD4FD908CB_11</vt:lpwstr>
  </property>
  <property fmtid="{D5CDD505-2E9C-101B-9397-08002B2CF9AE}" pid="3" name="KSOProductBuildVer">
    <vt:lpwstr>2052-12.1.0.20305</vt:lpwstr>
  </property>
</Properties>
</file>